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105" windowWidth="14805" windowHeight="8010"/>
  </bookViews>
  <sheets>
    <sheet name="183" sheetId="30" r:id="rId1"/>
    <sheet name="184" sheetId="14" r:id="rId2"/>
    <sheet name="185" sheetId="7" r:id="rId3"/>
    <sheet name="186" sheetId="8" r:id="rId4"/>
    <sheet name="187" sheetId="15" r:id="rId5"/>
    <sheet name="188" sheetId="17" r:id="rId6"/>
    <sheet name="189" sheetId="18" r:id="rId7"/>
    <sheet name="190" sheetId="19" r:id="rId8"/>
    <sheet name="191" sheetId="4" r:id="rId9"/>
    <sheet name="192" sheetId="21" r:id="rId10"/>
    <sheet name="193" sheetId="22" r:id="rId11"/>
    <sheet name="194" sheetId="23" r:id="rId12"/>
    <sheet name="195" sheetId="24" r:id="rId13"/>
    <sheet name="196" sheetId="25" r:id="rId14"/>
    <sheet name="197" sheetId="26" r:id="rId15"/>
    <sheet name="198" sheetId="27" r:id="rId16"/>
    <sheet name="199" sheetId="28" r:id="rId17"/>
    <sheet name="200" sheetId="31" r:id="rId18"/>
    <sheet name="201" sheetId="32" r:id="rId19"/>
    <sheet name="202" sheetId="33" r:id="rId20"/>
    <sheet name="203" sheetId="34" r:id="rId21"/>
    <sheet name="204" sheetId="35" r:id="rId22"/>
    <sheet name="205" sheetId="36" r:id="rId23"/>
    <sheet name="206" sheetId="37" r:id="rId24"/>
    <sheet name="207" sheetId="38" r:id="rId25"/>
    <sheet name="208" sheetId="39" r:id="rId26"/>
    <sheet name="209" sheetId="40" r:id="rId27"/>
    <sheet name="210" sheetId="41" r:id="rId28"/>
    <sheet name="211" sheetId="42" r:id="rId29"/>
    <sheet name="212" sheetId="43" r:id="rId30"/>
  </sheets>
  <definedNames>
    <definedName name="_xlnm.Print_Area" localSheetId="0">'183'!$A$1:$BJ$69</definedName>
    <definedName name="_xlnm.Print_Area" localSheetId="1">'184'!$A$1:$BK$60</definedName>
    <definedName name="_xlnm.Print_Area" localSheetId="2">'185'!$A$1:$BK$67</definedName>
    <definedName name="_xlnm.Print_Area" localSheetId="3">'186'!$A$1:$BK$61</definedName>
    <definedName name="_xlnm.Print_Area" localSheetId="4">'187'!$A$1:$BK$67</definedName>
    <definedName name="_xlnm.Print_Area" localSheetId="5">'188'!$A$1:$BK$70</definedName>
    <definedName name="_xlnm.Print_Area" localSheetId="6">'189'!$A$1:$BK$50</definedName>
    <definedName name="_xlnm.Print_Area" localSheetId="7">'190'!$A$1:$BK$69</definedName>
    <definedName name="_xlnm.Print_Area" localSheetId="8">'191'!$A$1:$BK$58</definedName>
    <definedName name="_xlnm.Print_Area" localSheetId="9">'192'!$A$1:$BK$18</definedName>
    <definedName name="_xlnm.Print_Area" localSheetId="10">'193'!$A$1:$BK$80</definedName>
    <definedName name="_xlnm.Print_Area" localSheetId="11">'194'!$A$1:$BK$74</definedName>
    <definedName name="_xlnm.Print_Area" localSheetId="12">'195'!$A$1:$BK$56</definedName>
    <definedName name="_xlnm.Print_Area" localSheetId="13">'196'!$A$1:$BK$72</definedName>
    <definedName name="_xlnm.Print_Area" localSheetId="14">'197'!$A$1:$BK$63</definedName>
    <definedName name="_xlnm.Print_Area" localSheetId="15">'198'!$A$1:$BK$77</definedName>
    <definedName name="_xlnm.Print_Area" localSheetId="16">'199'!$A$1:$BK$76</definedName>
    <definedName name="_xlnm.Print_Area" localSheetId="18">'201'!$A$1:$BK$72</definedName>
    <definedName name="_xlnm.Print_Area" localSheetId="19">'202'!$A$1:$BK$83</definedName>
    <definedName name="_xlnm.Print_Area" localSheetId="20">'203'!$A$1:$BK$59</definedName>
    <definedName name="_xlnm.Print_Area" localSheetId="21">'204'!$A$1:$BK$35</definedName>
    <definedName name="_xlnm.Print_Area" localSheetId="22">'205'!$A$1:$BK$67</definedName>
    <definedName name="_xlnm.Print_Area" localSheetId="23">'206'!$A$1:$BK$73</definedName>
    <definedName name="_xlnm.Print_Area" localSheetId="24">'207'!$A$1:$BK$78</definedName>
    <definedName name="_xlnm.Print_Area" localSheetId="25">'208'!$A$1:$BK$77</definedName>
    <definedName name="_xlnm.Print_Area" localSheetId="26">'209'!$A$1:$BK$81</definedName>
    <definedName name="_xlnm.Print_Area" localSheetId="27">'210'!$A$1:$BK$74</definedName>
    <definedName name="_xlnm.Print_Area" localSheetId="28">'211'!$A$1:$BK$61</definedName>
    <definedName name="_xlnm.Print_Area" localSheetId="29">'212'!$A$1:$BK$52</definedName>
  </definedNames>
  <calcPr calcId="145621"/>
</workbook>
</file>

<file path=xl/calcChain.xml><?xml version="1.0" encoding="utf-8"?>
<calcChain xmlns="http://schemas.openxmlformats.org/spreadsheetml/2006/main">
  <c r="AV15" i="43" l="1"/>
  <c r="AQ25" i="43"/>
  <c r="U39" i="42"/>
  <c r="U41" i="42"/>
  <c r="U43" i="42"/>
  <c r="U45" i="42"/>
  <c r="U47" i="42"/>
  <c r="U49" i="42"/>
  <c r="U51" i="42"/>
  <c r="U53" i="42"/>
  <c r="U55" i="42"/>
  <c r="U57" i="42"/>
  <c r="U59" i="42"/>
  <c r="AA12" i="40"/>
  <c r="AG12" i="40"/>
  <c r="U12" i="40" s="1"/>
  <c r="AM12" i="40"/>
  <c r="N23" i="40"/>
  <c r="N24" i="40"/>
  <c r="N25" i="40"/>
  <c r="N26" i="40"/>
  <c r="N27" i="40"/>
  <c r="N28" i="40"/>
  <c r="N37" i="40"/>
  <c r="N38" i="40"/>
  <c r="N39" i="40"/>
  <c r="N40" i="40"/>
  <c r="N41" i="40"/>
  <c r="N42" i="40"/>
  <c r="U11" i="39"/>
  <c r="AM11" i="39"/>
  <c r="U12" i="39"/>
  <c r="AM12" i="39"/>
  <c r="U13" i="39"/>
  <c r="AM13" i="39"/>
  <c r="U14" i="39"/>
  <c r="AM14" i="39"/>
  <c r="U15" i="39"/>
  <c r="AM15" i="39"/>
  <c r="U17" i="39"/>
  <c r="AM17" i="39"/>
  <c r="U18" i="39"/>
  <c r="AM18" i="39"/>
  <c r="U19" i="39"/>
  <c r="AM19" i="39"/>
  <c r="U20" i="39"/>
  <c r="AM20" i="39"/>
  <c r="U21" i="39"/>
  <c r="AM21" i="39"/>
  <c r="N32" i="39"/>
  <c r="R32" i="39"/>
  <c r="AA32" i="39"/>
  <c r="AG32" i="39"/>
  <c r="AS32" i="39"/>
  <c r="AY32" i="39"/>
  <c r="BE32" i="39"/>
  <c r="U34" i="39"/>
  <c r="U32" i="39" s="1"/>
  <c r="AM34" i="39"/>
  <c r="AM32" i="39" s="1"/>
  <c r="U35" i="39"/>
  <c r="AM35" i="39"/>
  <c r="U36" i="39"/>
  <c r="AM36" i="39"/>
  <c r="U37" i="39"/>
  <c r="AM37" i="39"/>
  <c r="U38" i="39"/>
  <c r="AM38" i="39"/>
  <c r="U40" i="39"/>
  <c r="AM40" i="39"/>
  <c r="U41" i="39"/>
  <c r="AM41" i="39"/>
  <c r="U42" i="39"/>
  <c r="AM42" i="39"/>
  <c r="U43" i="39"/>
  <c r="AM43" i="39"/>
  <c r="U44" i="39"/>
  <c r="AM44" i="39"/>
  <c r="U46" i="39"/>
  <c r="AM46" i="39"/>
  <c r="U47" i="39"/>
  <c r="AM47" i="39"/>
  <c r="U48" i="39"/>
  <c r="AM48" i="39"/>
  <c r="U49" i="39"/>
  <c r="AM49" i="39"/>
  <c r="U50" i="39"/>
  <c r="AM50" i="39"/>
  <c r="U52" i="39"/>
  <c r="AM52" i="39"/>
  <c r="U53" i="39"/>
  <c r="AM53" i="39"/>
  <c r="U54" i="39"/>
  <c r="AM54" i="39"/>
  <c r="U55" i="39"/>
  <c r="AM55" i="39"/>
  <c r="U56" i="39"/>
  <c r="AM56" i="39"/>
  <c r="U58" i="39"/>
  <c r="AM58" i="39"/>
  <c r="U59" i="39"/>
  <c r="AM59" i="39"/>
  <c r="U60" i="39"/>
  <c r="AM60" i="39"/>
  <c r="U61" i="39"/>
  <c r="AM61" i="39"/>
  <c r="U62" i="39"/>
  <c r="AM62" i="39"/>
  <c r="U64" i="39"/>
  <c r="AM64" i="39"/>
  <c r="U65" i="39"/>
  <c r="AM65" i="39"/>
  <c r="U66" i="39"/>
  <c r="AM66" i="39"/>
  <c r="U67" i="39"/>
  <c r="AM67" i="39"/>
  <c r="U68" i="39"/>
  <c r="AM68" i="39"/>
  <c r="U70" i="39"/>
  <c r="AM70" i="39"/>
  <c r="U71" i="39"/>
  <c r="AM71" i="39"/>
  <c r="U72" i="39"/>
  <c r="AM72" i="39"/>
  <c r="U73" i="39"/>
  <c r="AM73" i="39"/>
  <c r="U13" i="38"/>
  <c r="AM13" i="38"/>
  <c r="U14" i="38"/>
  <c r="AM14" i="38"/>
  <c r="U15" i="38"/>
  <c r="AM15" i="38"/>
  <c r="U16" i="38"/>
  <c r="AM16" i="38"/>
  <c r="U17" i="38"/>
  <c r="AM17" i="38"/>
  <c r="U19" i="38"/>
  <c r="AM19" i="38"/>
  <c r="U20" i="38"/>
  <c r="AM20" i="38"/>
  <c r="U21" i="38"/>
  <c r="AM21" i="38"/>
  <c r="U22" i="38"/>
  <c r="AM22" i="38"/>
  <c r="U23" i="38"/>
  <c r="AM23" i="38"/>
  <c r="U25" i="38"/>
  <c r="AM25" i="38"/>
  <c r="U26" i="38"/>
  <c r="AM26" i="38"/>
  <c r="U27" i="38"/>
  <c r="AM27" i="38"/>
  <c r="U28" i="38"/>
  <c r="AM28" i="38"/>
  <c r="U29" i="38"/>
  <c r="AM29" i="38"/>
  <c r="U31" i="38"/>
  <c r="AM31" i="38"/>
  <c r="U32" i="38"/>
  <c r="AM32" i="38"/>
  <c r="U33" i="38"/>
  <c r="AM33" i="38"/>
  <c r="U34" i="38"/>
  <c r="AM34" i="38"/>
  <c r="U35" i="38"/>
  <c r="AM35" i="38"/>
  <c r="U37" i="38"/>
  <c r="AM37" i="38"/>
  <c r="U38" i="38"/>
  <c r="AM38" i="38"/>
  <c r="U39" i="38"/>
  <c r="AM39" i="38"/>
  <c r="U40" i="38"/>
  <c r="AM40" i="38"/>
  <c r="U41" i="38"/>
  <c r="AM41" i="38"/>
  <c r="U43" i="38"/>
  <c r="AM43" i="38"/>
  <c r="U44" i="38"/>
  <c r="AM44" i="38"/>
  <c r="U45" i="38"/>
  <c r="AM45" i="38"/>
  <c r="U46" i="38"/>
  <c r="AM46" i="38"/>
  <c r="U47" i="38"/>
  <c r="AM47" i="38"/>
  <c r="U49" i="38"/>
  <c r="AM49" i="38"/>
  <c r="U50" i="38"/>
  <c r="AM50" i="38"/>
  <c r="U51" i="38"/>
  <c r="AM51" i="38"/>
  <c r="U52" i="38"/>
  <c r="AM52" i="38"/>
  <c r="U53" i="38"/>
  <c r="AM53" i="38"/>
  <c r="U55" i="38"/>
  <c r="AM55" i="38"/>
  <c r="U56" i="38"/>
  <c r="AM56" i="38"/>
  <c r="U57" i="38"/>
  <c r="AM57" i="38"/>
  <c r="U58" i="38"/>
  <c r="AM58" i="38"/>
  <c r="U59" i="38"/>
  <c r="AM59" i="38"/>
  <c r="U61" i="38"/>
  <c r="AM61" i="38"/>
  <c r="U62" i="38"/>
  <c r="AM62" i="38"/>
  <c r="U63" i="38"/>
  <c r="AM63" i="38"/>
  <c r="U64" i="38"/>
  <c r="AM64" i="38"/>
  <c r="U65" i="38"/>
  <c r="AM65" i="38"/>
  <c r="U67" i="38"/>
  <c r="AM67" i="38"/>
  <c r="U68" i="38"/>
  <c r="AM68" i="38"/>
  <c r="U69" i="38"/>
  <c r="AM69" i="38"/>
  <c r="U70" i="38"/>
  <c r="AM70" i="38"/>
  <c r="U71" i="38"/>
  <c r="AM71" i="38"/>
  <c r="U73" i="38"/>
  <c r="AM73" i="38"/>
  <c r="U74" i="38"/>
  <c r="AM74" i="38"/>
  <c r="U75" i="38"/>
  <c r="AM75" i="38"/>
  <c r="U76" i="38"/>
  <c r="AM76" i="38"/>
  <c r="U77" i="38"/>
  <c r="AM77" i="38"/>
  <c r="N85" i="38"/>
  <c r="N11" i="38" s="1"/>
  <c r="R85" i="38"/>
  <c r="R11" i="38" s="1"/>
  <c r="U85" i="38"/>
  <c r="U11" i="38" s="1"/>
  <c r="AA85" i="38"/>
  <c r="AA11" i="38" s="1"/>
  <c r="AG85" i="38"/>
  <c r="AG11" i="38" s="1"/>
  <c r="AM85" i="38"/>
  <c r="AM11" i="38" s="1"/>
  <c r="AS85" i="38"/>
  <c r="AS11" i="38" s="1"/>
  <c r="AY85" i="38"/>
  <c r="AY11" i="38" s="1"/>
  <c r="BE85" i="38"/>
  <c r="BE11" i="38" s="1"/>
  <c r="N86" i="38"/>
  <c r="R86" i="38"/>
  <c r="U86" i="38"/>
  <c r="AA86" i="38"/>
  <c r="AG86" i="38"/>
  <c r="AM86" i="38"/>
  <c r="AS86" i="38"/>
  <c r="AY86" i="38"/>
  <c r="BE86" i="38"/>
  <c r="AA19" i="37"/>
  <c r="AS19" i="37"/>
  <c r="BE34" i="37" s="1"/>
  <c r="AG55" i="37"/>
  <c r="O70" i="37"/>
  <c r="BE70" i="37"/>
  <c r="AG11" i="36"/>
  <c r="AG12" i="36" s="1"/>
  <c r="N12" i="36"/>
  <c r="R12" i="36"/>
  <c r="W12" i="36"/>
  <c r="AB12" i="36"/>
  <c r="AL12" i="36"/>
  <c r="AQ12" i="36"/>
  <c r="AV12" i="36"/>
  <c r="BA12" i="36"/>
  <c r="BF12" i="36"/>
  <c r="AG13" i="36"/>
  <c r="AG14" i="36"/>
  <c r="AG16" i="36"/>
  <c r="AG18" i="36"/>
  <c r="AG19" i="36"/>
  <c r="AG21" i="36"/>
  <c r="AG22" i="36"/>
  <c r="AG23" i="36"/>
  <c r="AG25" i="36"/>
  <c r="BE64" i="36"/>
  <c r="AB10" i="35"/>
  <c r="AB11" i="35"/>
  <c r="AB12" i="35"/>
  <c r="AB13" i="35"/>
  <c r="AG29" i="35"/>
  <c r="U14" i="34"/>
  <c r="AB14" i="34"/>
  <c r="AP14" i="34"/>
  <c r="AW14" i="34"/>
  <c r="BD14" i="34"/>
  <c r="N16" i="34"/>
  <c r="N14" i="34" s="1"/>
  <c r="AI16" i="34"/>
  <c r="AI14" i="34" s="1"/>
  <c r="N17" i="34"/>
  <c r="AI17" i="34"/>
  <c r="N18" i="34"/>
  <c r="AI18" i="34"/>
  <c r="N19" i="34"/>
  <c r="AI19" i="34"/>
  <c r="AI20" i="34"/>
  <c r="AI21" i="34"/>
  <c r="AA33" i="34"/>
  <c r="AA34" i="34"/>
  <c r="AA35" i="34"/>
  <c r="AA36" i="34"/>
  <c r="AA53" i="34"/>
  <c r="U9" i="33"/>
  <c r="O9" i="33" s="1"/>
  <c r="Z9" i="33"/>
  <c r="AK9" i="33"/>
  <c r="AP9" i="33"/>
  <c r="AE9" i="33" s="1"/>
  <c r="AU9" i="33"/>
  <c r="U10" i="33"/>
  <c r="Z10" i="33"/>
  <c r="O10" i="33" s="1"/>
  <c r="AK10" i="33"/>
  <c r="AE10" i="33" s="1"/>
  <c r="AP10" i="33"/>
  <c r="AU10" i="33"/>
  <c r="U11" i="33"/>
  <c r="O11" i="33" s="1"/>
  <c r="Z11" i="33"/>
  <c r="AK11" i="33"/>
  <c r="AP11" i="33"/>
  <c r="AE11" i="33" s="1"/>
  <c r="AU11" i="33"/>
  <c r="U12" i="33"/>
  <c r="Z12" i="33"/>
  <c r="O12" i="33" s="1"/>
  <c r="AK12" i="33"/>
  <c r="AE12" i="33" s="1"/>
  <c r="AP12" i="33"/>
  <c r="AU12" i="33"/>
  <c r="U13" i="33"/>
  <c r="O13" i="33" s="1"/>
  <c r="Z13" i="33"/>
  <c r="AK13" i="33"/>
  <c r="AP13" i="33"/>
  <c r="AE13" i="33" s="1"/>
  <c r="AU13" i="33"/>
  <c r="U15" i="33"/>
  <c r="Z15" i="33"/>
  <c r="O15" i="33" s="1"/>
  <c r="AK15" i="33"/>
  <c r="AE15" i="33" s="1"/>
  <c r="AP15" i="33"/>
  <c r="AU15" i="33"/>
  <c r="U16" i="33"/>
  <c r="O16" i="33" s="1"/>
  <c r="Z16" i="33"/>
  <c r="AK16" i="33"/>
  <c r="AP16" i="33"/>
  <c r="AE16" i="33" s="1"/>
  <c r="AU16" i="33"/>
  <c r="U17" i="33"/>
  <c r="Z17" i="33"/>
  <c r="O17" i="33" s="1"/>
  <c r="AK17" i="33"/>
  <c r="AE17" i="33" s="1"/>
  <c r="AP17" i="33"/>
  <c r="AU17" i="33"/>
  <c r="U18" i="33"/>
  <c r="O18" i="33" s="1"/>
  <c r="AK18" i="33"/>
  <c r="AE18" i="33" s="1"/>
  <c r="AP18" i="33"/>
  <c r="AU18" i="33"/>
  <c r="U19" i="33"/>
  <c r="O19" i="33" s="1"/>
  <c r="Z19" i="33"/>
  <c r="AK19" i="33"/>
  <c r="AP19" i="33"/>
  <c r="AE19" i="33" s="1"/>
  <c r="AU19" i="33"/>
  <c r="U30" i="33"/>
  <c r="Z30" i="33"/>
  <c r="BA30" i="33"/>
  <c r="BF30" i="33"/>
  <c r="O32" i="33"/>
  <c r="O30" i="33" s="1"/>
  <c r="AK32" i="33"/>
  <c r="AK30" i="33" s="1"/>
  <c r="AP32" i="33"/>
  <c r="AP30" i="33" s="1"/>
  <c r="AU32" i="33"/>
  <c r="AU30" i="33" s="1"/>
  <c r="O33" i="33"/>
  <c r="AE33" i="33"/>
  <c r="AU33" i="33"/>
  <c r="O34" i="33"/>
  <c r="AK34" i="33"/>
  <c r="AE34" i="33" s="1"/>
  <c r="AP34" i="33"/>
  <c r="AU34" i="33"/>
  <c r="O35" i="33"/>
  <c r="AE35" i="33"/>
  <c r="AU35" i="33"/>
  <c r="O36" i="33"/>
  <c r="AK36" i="33"/>
  <c r="AE36" i="33" s="1"/>
  <c r="AP36" i="33"/>
  <c r="AU36" i="33"/>
  <c r="O38" i="33"/>
  <c r="AE38" i="33"/>
  <c r="AU38" i="33"/>
  <c r="O39" i="33"/>
  <c r="AE39" i="33"/>
  <c r="AU39" i="33"/>
  <c r="O40" i="33"/>
  <c r="AE40" i="33"/>
  <c r="AU40" i="33"/>
  <c r="O41" i="33"/>
  <c r="AE41" i="33"/>
  <c r="AU41" i="33"/>
  <c r="O42" i="33"/>
  <c r="AK42" i="33"/>
  <c r="AP42" i="33"/>
  <c r="AE42" i="33" s="1"/>
  <c r="AU42" i="33"/>
  <c r="O44" i="33"/>
  <c r="AE44" i="33"/>
  <c r="AU44" i="33"/>
  <c r="O45" i="33"/>
  <c r="AK45" i="33"/>
  <c r="AP45" i="33"/>
  <c r="AE45" i="33" s="1"/>
  <c r="AU45" i="33"/>
  <c r="O46" i="33"/>
  <c r="AE46" i="33"/>
  <c r="AU46" i="33"/>
  <c r="O47" i="33"/>
  <c r="AK47" i="33"/>
  <c r="AP47" i="33"/>
  <c r="AE47" i="33" s="1"/>
  <c r="AU47" i="33"/>
  <c r="O48" i="33"/>
  <c r="AE48" i="33"/>
  <c r="AU48" i="33"/>
  <c r="O50" i="33"/>
  <c r="AK50" i="33"/>
  <c r="AP50" i="33"/>
  <c r="AE50" i="33" s="1"/>
  <c r="AU50" i="33"/>
  <c r="O51" i="33"/>
  <c r="AK51" i="33"/>
  <c r="AE51" i="33" s="1"/>
  <c r="AP51" i="33"/>
  <c r="AU51" i="33"/>
  <c r="O52" i="33"/>
  <c r="AE52" i="33"/>
  <c r="AU52" i="33"/>
  <c r="O53" i="33"/>
  <c r="AK53" i="33"/>
  <c r="AE53" i="33" s="1"/>
  <c r="AP53" i="33"/>
  <c r="AU53" i="33"/>
  <c r="O54" i="33"/>
  <c r="AE54" i="33"/>
  <c r="AU54" i="33"/>
  <c r="O56" i="33"/>
  <c r="AE56" i="33"/>
  <c r="AU56" i="33"/>
  <c r="O57" i="33"/>
  <c r="AK57" i="33"/>
  <c r="AP57" i="33"/>
  <c r="AE57" i="33" s="1"/>
  <c r="AU57" i="33"/>
  <c r="O58" i="33"/>
  <c r="AK58" i="33"/>
  <c r="AE58" i="33" s="1"/>
  <c r="AP58" i="33"/>
  <c r="AU58" i="33"/>
  <c r="O59" i="33"/>
  <c r="AK59" i="33"/>
  <c r="AP59" i="33"/>
  <c r="AE59" i="33" s="1"/>
  <c r="AU59" i="33"/>
  <c r="O60" i="33"/>
  <c r="AK60" i="33"/>
  <c r="AE60" i="33" s="1"/>
  <c r="AP60" i="33"/>
  <c r="AU60" i="33"/>
  <c r="O62" i="33"/>
  <c r="AK62" i="33"/>
  <c r="AP62" i="33"/>
  <c r="AE62" i="33" s="1"/>
  <c r="AU62" i="33"/>
  <c r="O63" i="33"/>
  <c r="AK63" i="33"/>
  <c r="AE63" i="33" s="1"/>
  <c r="AP63" i="33"/>
  <c r="AU63" i="33"/>
  <c r="O64" i="33"/>
  <c r="AK64" i="33"/>
  <c r="AP64" i="33"/>
  <c r="AE64" i="33" s="1"/>
  <c r="AU64" i="33"/>
  <c r="O65" i="33"/>
  <c r="AK65" i="33"/>
  <c r="AE65" i="33" s="1"/>
  <c r="AP65" i="33"/>
  <c r="AU65" i="33"/>
  <c r="O66" i="33"/>
  <c r="AK66" i="33"/>
  <c r="AP66" i="33"/>
  <c r="AE66" i="33" s="1"/>
  <c r="AU66" i="33"/>
  <c r="O68" i="33"/>
  <c r="AK68" i="33"/>
  <c r="AE68" i="33" s="1"/>
  <c r="AP68" i="33"/>
  <c r="AU68" i="33"/>
  <c r="O69" i="33"/>
  <c r="AK69" i="33"/>
  <c r="AP69" i="33"/>
  <c r="AE69" i="33" s="1"/>
  <c r="AU69" i="33"/>
  <c r="O70" i="33"/>
  <c r="AK70" i="33"/>
  <c r="AE70" i="33" s="1"/>
  <c r="AP70" i="33"/>
  <c r="AU70" i="33"/>
  <c r="O71" i="33"/>
  <c r="AK71" i="33"/>
  <c r="AP71" i="33"/>
  <c r="AE71" i="33" s="1"/>
  <c r="AU71" i="33"/>
  <c r="O72" i="33"/>
  <c r="AK72" i="33"/>
  <c r="AE72" i="33" s="1"/>
  <c r="AP72" i="33"/>
  <c r="AU72" i="33"/>
  <c r="O74" i="33"/>
  <c r="AK74" i="33"/>
  <c r="AP74" i="33"/>
  <c r="AE74" i="33" s="1"/>
  <c r="AU74" i="33"/>
  <c r="O75" i="33"/>
  <c r="AK75" i="33"/>
  <c r="AE75" i="33" s="1"/>
  <c r="AP75" i="33"/>
  <c r="AU75" i="33"/>
  <c r="O76" i="33"/>
  <c r="AK76" i="33"/>
  <c r="AP76" i="33"/>
  <c r="AE76" i="33" s="1"/>
  <c r="AU76" i="33"/>
  <c r="O77" i="33"/>
  <c r="AK77" i="33"/>
  <c r="AE77" i="33" s="1"/>
  <c r="AP77" i="33"/>
  <c r="AU77" i="33"/>
  <c r="O78" i="33"/>
  <c r="AK78" i="33"/>
  <c r="AP78" i="33"/>
  <c r="AE78" i="33" s="1"/>
  <c r="AU78" i="33"/>
  <c r="O80" i="33"/>
  <c r="AK80" i="33"/>
  <c r="AE80" i="33" s="1"/>
  <c r="AP80" i="33"/>
  <c r="AU80" i="33"/>
  <c r="AS1" i="32"/>
  <c r="A1" i="33" s="1"/>
  <c r="AS1" i="34" s="1"/>
  <c r="A1" i="35" s="1"/>
  <c r="AS1" i="36" s="1"/>
  <c r="A1" i="37" s="1"/>
  <c r="AS1" i="38" s="1"/>
  <c r="A1" i="39" s="1"/>
  <c r="AS1" i="40" s="1"/>
  <c r="A1" i="41" s="1"/>
  <c r="AS1" i="42" s="1"/>
  <c r="A1" i="43" s="1"/>
  <c r="O13" i="32"/>
  <c r="AK13" i="32"/>
  <c r="AE13" i="32" s="1"/>
  <c r="AP13" i="32"/>
  <c r="AU13" i="32"/>
  <c r="O14" i="32"/>
  <c r="AK14" i="32"/>
  <c r="AE14" i="32" s="1"/>
  <c r="AP14" i="32"/>
  <c r="AU14" i="32"/>
  <c r="O15" i="32"/>
  <c r="AK15" i="32"/>
  <c r="AE15" i="32" s="1"/>
  <c r="AP15" i="32"/>
  <c r="AU15" i="32"/>
  <c r="O16" i="32"/>
  <c r="AK16" i="32"/>
  <c r="AE16" i="32" s="1"/>
  <c r="AP16" i="32"/>
  <c r="AU16" i="32"/>
  <c r="O17" i="32"/>
  <c r="AK17" i="32"/>
  <c r="AE17" i="32" s="1"/>
  <c r="AP17" i="32"/>
  <c r="AU17" i="32"/>
  <c r="O19" i="32"/>
  <c r="AK19" i="32"/>
  <c r="AE19" i="32" s="1"/>
  <c r="AP19" i="32"/>
  <c r="AU19" i="32"/>
  <c r="U20" i="32"/>
  <c r="O20" i="32" s="1"/>
  <c r="Z20" i="32"/>
  <c r="AK20" i="32"/>
  <c r="AE20" i="32" s="1"/>
  <c r="AP20" i="32"/>
  <c r="AU20" i="32"/>
  <c r="U21" i="32"/>
  <c r="O21" i="32" s="1"/>
  <c r="AK21" i="32"/>
  <c r="AE21" i="32" s="1"/>
  <c r="AP21" i="32"/>
  <c r="AU21" i="32"/>
  <c r="U22" i="32"/>
  <c r="O22" i="32" s="1"/>
  <c r="Z22" i="32"/>
  <c r="AK22" i="32"/>
  <c r="AP22" i="32"/>
  <c r="AE22" i="32" s="1"/>
  <c r="AU22" i="32"/>
  <c r="U23" i="32"/>
  <c r="Z23" i="32"/>
  <c r="O23" i="32" s="1"/>
  <c r="AK23" i="32"/>
  <c r="AE23" i="32" s="1"/>
  <c r="AP23" i="32"/>
  <c r="AU23" i="32"/>
  <c r="U25" i="32"/>
  <c r="O25" i="32" s="1"/>
  <c r="Z25" i="32"/>
  <c r="AK25" i="32"/>
  <c r="AP25" i="32"/>
  <c r="AE25" i="32" s="1"/>
  <c r="AU25" i="32"/>
  <c r="U26" i="32"/>
  <c r="Z26" i="32"/>
  <c r="O26" i="32" s="1"/>
  <c r="AK26" i="32"/>
  <c r="AE26" i="32" s="1"/>
  <c r="AP26" i="32"/>
  <c r="AU26" i="32"/>
  <c r="U27" i="32"/>
  <c r="O27" i="32" s="1"/>
  <c r="Z27" i="32"/>
  <c r="AK27" i="32"/>
  <c r="AP27" i="32"/>
  <c r="AE27" i="32" s="1"/>
  <c r="AU27" i="32"/>
  <c r="U28" i="32"/>
  <c r="Z28" i="32"/>
  <c r="O28" i="32" s="1"/>
  <c r="AK28" i="32"/>
  <c r="AE28" i="32" s="1"/>
  <c r="AP28" i="32"/>
  <c r="AU28" i="32"/>
  <c r="U29" i="32"/>
  <c r="O29" i="32" s="1"/>
  <c r="Z29" i="32"/>
  <c r="AK29" i="32"/>
  <c r="AP29" i="32"/>
  <c r="AE29" i="32" s="1"/>
  <c r="AU29" i="32"/>
  <c r="U31" i="32"/>
  <c r="Z31" i="32"/>
  <c r="O31" i="32" s="1"/>
  <c r="AK31" i="32"/>
  <c r="AE31" i="32" s="1"/>
  <c r="AP31" i="32"/>
  <c r="AU31" i="32"/>
  <c r="U32" i="32"/>
  <c r="O32" i="32" s="1"/>
  <c r="Z32" i="32"/>
  <c r="AK32" i="32"/>
  <c r="AP32" i="32"/>
  <c r="AE32" i="32" s="1"/>
  <c r="AU32" i="32"/>
  <c r="O33" i="32"/>
  <c r="AK33" i="32"/>
  <c r="AE33" i="32" s="1"/>
  <c r="AP33" i="32"/>
  <c r="AU33" i="32"/>
  <c r="U34" i="32"/>
  <c r="O34" i="32" s="1"/>
  <c r="Z34" i="32"/>
  <c r="AK34" i="32"/>
  <c r="AP34" i="32"/>
  <c r="AE34" i="32" s="1"/>
  <c r="AU34" i="32"/>
  <c r="U35" i="32"/>
  <c r="Z35" i="32"/>
  <c r="O35" i="32" s="1"/>
  <c r="AK35" i="32"/>
  <c r="AE35" i="32" s="1"/>
  <c r="AP35" i="32"/>
  <c r="AU35" i="32"/>
  <c r="U37" i="32"/>
  <c r="O37" i="32" s="1"/>
  <c r="Z37" i="32"/>
  <c r="AK37" i="32"/>
  <c r="AP37" i="32"/>
  <c r="AE37" i="32" s="1"/>
  <c r="AU37" i="32"/>
  <c r="O38" i="32"/>
  <c r="U38" i="32"/>
  <c r="AK38" i="32"/>
  <c r="AP38" i="32"/>
  <c r="AE38" i="32" s="1"/>
  <c r="AU38" i="32"/>
  <c r="U39" i="32"/>
  <c r="Z39" i="32"/>
  <c r="O39" i="32" s="1"/>
  <c r="AK39" i="32"/>
  <c r="AE39" i="32" s="1"/>
  <c r="AP39" i="32"/>
  <c r="AU39" i="32"/>
  <c r="U40" i="32"/>
  <c r="O40" i="32" s="1"/>
  <c r="Z40" i="32"/>
  <c r="AK40" i="32"/>
  <c r="AP40" i="32"/>
  <c r="AE40" i="32" s="1"/>
  <c r="AU40" i="32"/>
  <c r="U41" i="32"/>
  <c r="Z41" i="32"/>
  <c r="O41" i="32" s="1"/>
  <c r="AK41" i="32"/>
  <c r="AE41" i="32" s="1"/>
  <c r="AP41" i="32"/>
  <c r="AU41" i="32"/>
  <c r="U43" i="32"/>
  <c r="O43" i="32" s="1"/>
  <c r="Z43" i="32"/>
  <c r="AK43" i="32"/>
  <c r="AP43" i="32"/>
  <c r="AE43" i="32" s="1"/>
  <c r="AU43" i="32"/>
  <c r="U44" i="32"/>
  <c r="Z44" i="32"/>
  <c r="O44" i="32" s="1"/>
  <c r="AK44" i="32"/>
  <c r="AE44" i="32" s="1"/>
  <c r="AP44" i="32"/>
  <c r="AU44" i="32"/>
  <c r="U45" i="32"/>
  <c r="O45" i="32" s="1"/>
  <c r="Z45" i="32"/>
  <c r="AK45" i="32"/>
  <c r="AP45" i="32"/>
  <c r="AE45" i="32" s="1"/>
  <c r="AU45" i="32"/>
  <c r="U46" i="32"/>
  <c r="Z46" i="32"/>
  <c r="O46" i="32" s="1"/>
  <c r="AK46" i="32"/>
  <c r="AE46" i="32" s="1"/>
  <c r="AP46" i="32"/>
  <c r="AU46" i="32"/>
  <c r="U47" i="32"/>
  <c r="O47" i="32" s="1"/>
  <c r="Z47" i="32"/>
  <c r="AK47" i="32"/>
  <c r="AP47" i="32"/>
  <c r="AE47" i="32" s="1"/>
  <c r="AU47" i="32"/>
  <c r="U49" i="32"/>
  <c r="Z49" i="32"/>
  <c r="O49" i="32" s="1"/>
  <c r="AK49" i="32"/>
  <c r="AE49" i="32" s="1"/>
  <c r="AP49" i="32"/>
  <c r="AU49" i="32"/>
  <c r="U50" i="32"/>
  <c r="O50" i="32" s="1"/>
  <c r="Z50" i="32"/>
  <c r="AK50" i="32"/>
  <c r="AP50" i="32"/>
  <c r="AE50" i="32" s="1"/>
  <c r="AU50" i="32"/>
  <c r="U51" i="32"/>
  <c r="O51" i="32" s="1"/>
  <c r="Z51" i="32"/>
  <c r="AK51" i="32"/>
  <c r="AE51" i="32" s="1"/>
  <c r="AP51" i="32"/>
  <c r="AU51" i="32"/>
  <c r="U52" i="32"/>
  <c r="O52" i="32" s="1"/>
  <c r="AK52" i="32"/>
  <c r="AP52" i="32"/>
  <c r="AE52" i="32" s="1"/>
  <c r="AU52" i="32"/>
  <c r="U53" i="32"/>
  <c r="Z53" i="32"/>
  <c r="O53" i="32" s="1"/>
  <c r="AK53" i="32"/>
  <c r="AE53" i="32" s="1"/>
  <c r="AP53" i="32"/>
  <c r="AU53" i="32"/>
  <c r="U55" i="32"/>
  <c r="O55" i="32" s="1"/>
  <c r="Z55" i="32"/>
  <c r="AK55" i="32"/>
  <c r="AP55" i="32"/>
  <c r="AE55" i="32" s="1"/>
  <c r="AU55" i="32"/>
  <c r="U56" i="32"/>
  <c r="Z56" i="32"/>
  <c r="O56" i="32" s="1"/>
  <c r="AK56" i="32"/>
  <c r="AE56" i="32" s="1"/>
  <c r="AP56" i="32"/>
  <c r="AU56" i="32"/>
  <c r="Z57" i="32"/>
  <c r="O57" i="32" s="1"/>
  <c r="AK57" i="32"/>
  <c r="AE57" i="32" s="1"/>
  <c r="AP57" i="32"/>
  <c r="AU57" i="32"/>
  <c r="U58" i="32"/>
  <c r="O58" i="32" s="1"/>
  <c r="AK58" i="32"/>
  <c r="AE58" i="32" s="1"/>
  <c r="AU58" i="32"/>
  <c r="U59" i="32"/>
  <c r="O59" i="32" s="1"/>
  <c r="Z59" i="32"/>
  <c r="AK59" i="32"/>
  <c r="AP59" i="32"/>
  <c r="AE59" i="32" s="1"/>
  <c r="AU59" i="32"/>
  <c r="U61" i="32"/>
  <c r="Z61" i="32"/>
  <c r="O61" i="32" s="1"/>
  <c r="AK61" i="32"/>
  <c r="AE61" i="32" s="1"/>
  <c r="AP61" i="32"/>
  <c r="AU61" i="32"/>
  <c r="U62" i="32"/>
  <c r="O62" i="32" s="1"/>
  <c r="AK62" i="32"/>
  <c r="AP62" i="32"/>
  <c r="AU62" i="32"/>
  <c r="U63" i="32"/>
  <c r="Z63" i="32"/>
  <c r="O63" i="32" s="1"/>
  <c r="AK63" i="32"/>
  <c r="AE63" i="32" s="1"/>
  <c r="AP63" i="32"/>
  <c r="AU63" i="32"/>
  <c r="U64" i="32"/>
  <c r="O64" i="32" s="1"/>
  <c r="Z64" i="32"/>
  <c r="AK64" i="32"/>
  <c r="AP64" i="32"/>
  <c r="AE64" i="32" s="1"/>
  <c r="AU64" i="32"/>
  <c r="U65" i="32"/>
  <c r="Z65" i="32"/>
  <c r="O65" i="32" s="1"/>
  <c r="AK65" i="32"/>
  <c r="AE65" i="32" s="1"/>
  <c r="AP65" i="32"/>
  <c r="AU65" i="32"/>
  <c r="O67" i="32"/>
  <c r="AK67" i="32"/>
  <c r="AP67" i="32"/>
  <c r="AE67" i="32" s="1"/>
  <c r="AU67" i="32"/>
  <c r="O68" i="32"/>
  <c r="AK68" i="32"/>
  <c r="AE68" i="32" s="1"/>
  <c r="AP68" i="32"/>
  <c r="AU68" i="32"/>
  <c r="O69" i="32"/>
  <c r="AK69" i="32"/>
  <c r="AP69" i="32"/>
  <c r="AE69" i="32" s="1"/>
  <c r="AU69" i="32"/>
  <c r="O70" i="32"/>
  <c r="AK70" i="32"/>
  <c r="AE70" i="32" s="1"/>
  <c r="AP70" i="32"/>
  <c r="AU70" i="32"/>
  <c r="O71" i="32"/>
  <c r="AK71" i="32"/>
  <c r="AP71" i="32"/>
  <c r="AE71" i="32" s="1"/>
  <c r="AU71" i="32"/>
  <c r="U81" i="32"/>
  <c r="Z81" i="32"/>
  <c r="AK81" i="32"/>
  <c r="AP81" i="32"/>
  <c r="AU81" i="32"/>
  <c r="AU11" i="32" s="1"/>
  <c r="BA81" i="32"/>
  <c r="BF81" i="32"/>
  <c r="BF11" i="32" s="1"/>
  <c r="O82" i="32"/>
  <c r="U82" i="32"/>
  <c r="Z82" i="32"/>
  <c r="AE82" i="32"/>
  <c r="AK82" i="32"/>
  <c r="AP82" i="32"/>
  <c r="AU82" i="32"/>
  <c r="BA82" i="32"/>
  <c r="BF82" i="32"/>
  <c r="O81" i="32" l="1"/>
  <c r="O11" i="32" s="1"/>
  <c r="BA11" i="32"/>
  <c r="AP11" i="32"/>
  <c r="U11" i="32"/>
  <c r="AE62" i="32"/>
  <c r="AE81" i="32" s="1"/>
  <c r="AE11" i="32" s="1"/>
  <c r="AK11" i="32"/>
  <c r="Z11" i="32"/>
  <c r="AE32" i="33"/>
  <c r="AE30" i="33" s="1"/>
  <c r="A1" i="14"/>
  <c r="W49" i="27" l="1"/>
  <c r="W48" i="27"/>
  <c r="W47" i="27"/>
  <c r="W46" i="27"/>
  <c r="W45" i="27"/>
  <c r="AM35" i="28"/>
  <c r="O35" i="28"/>
  <c r="AM26" i="28"/>
  <c r="O26" i="28"/>
  <c r="AE38" i="27"/>
  <c r="O16" i="27"/>
  <c r="AS1" i="7" l="1"/>
  <c r="A1" i="8" s="1"/>
  <c r="AS1" i="15" s="1"/>
  <c r="A1" i="17" s="1"/>
  <c r="AS1" i="18" s="1"/>
  <c r="A1" i="19" s="1"/>
  <c r="AW1" i="4" s="1"/>
  <c r="A1" i="21" s="1"/>
  <c r="AS1" i="22" s="1"/>
  <c r="A1" i="23" s="1"/>
  <c r="AS1" i="24" s="1"/>
  <c r="A1" i="25" s="1"/>
  <c r="O30" i="8" l="1"/>
  <c r="R65" i="15"/>
  <c r="M65" i="15"/>
  <c r="W42" i="15"/>
  <c r="O42" i="15"/>
  <c r="AB50" i="28" l="1"/>
  <c r="U50" i="28"/>
  <c r="T42" i="24"/>
  <c r="U16" i="24"/>
  <c r="BA16" i="25" l="1"/>
  <c r="Q31" i="25"/>
  <c r="Q30" i="25"/>
  <c r="Q29" i="25"/>
  <c r="Q28" i="25"/>
  <c r="Q27" i="25"/>
  <c r="AW1" i="26"/>
  <c r="A1" i="27" s="1"/>
  <c r="AS1" i="28" s="1"/>
  <c r="AC59" i="8"/>
  <c r="AC58" i="8"/>
  <c r="AC57" i="8"/>
  <c r="AC56" i="8"/>
  <c r="AC55" i="8"/>
  <c r="O44" i="8"/>
  <c r="O43" i="8"/>
  <c r="O42" i="8"/>
  <c r="O41" i="8"/>
  <c r="O40" i="8"/>
  <c r="BE29" i="8"/>
  <c r="O29" i="8"/>
  <c r="BE28" i="8"/>
  <c r="O28" i="8"/>
  <c r="BE27" i="8"/>
  <c r="O27" i="8"/>
  <c r="BE26" i="8"/>
  <c r="O26" i="8"/>
  <c r="W16" i="8"/>
  <c r="O16" i="8"/>
  <c r="W15" i="8"/>
  <c r="O15" i="8"/>
  <c r="W14" i="8"/>
  <c r="O14" i="8"/>
  <c r="O74" i="27"/>
  <c r="O23" i="26"/>
  <c r="O24" i="26"/>
  <c r="O25" i="26"/>
  <c r="S26" i="26"/>
  <c r="O26" i="26"/>
  <c r="W26" i="26"/>
  <c r="S27" i="26"/>
  <c r="W27" i="26"/>
  <c r="AA27" i="26"/>
  <c r="AM27" i="26"/>
  <c r="AY27" i="26"/>
  <c r="O36" i="26"/>
  <c r="AA36" i="26"/>
  <c r="AM36" i="26"/>
  <c r="AY36" i="26"/>
  <c r="Y16" i="25"/>
  <c r="O58" i="25"/>
  <c r="AM58" i="25"/>
  <c r="AM64" i="25"/>
  <c r="AU64" i="25"/>
  <c r="BC64" i="25"/>
  <c r="AM65" i="25"/>
  <c r="AU65" i="25"/>
  <c r="BC65" i="25"/>
  <c r="AM66" i="25"/>
  <c r="AU66" i="25"/>
  <c r="BC66" i="25"/>
  <c r="AM67" i="25"/>
  <c r="AU67" i="25"/>
  <c r="BC67" i="25"/>
  <c r="O68" i="25"/>
  <c r="AM68" i="25"/>
  <c r="AU68" i="25"/>
  <c r="BC68" i="25"/>
  <c r="O12" i="24"/>
  <c r="O13" i="24"/>
  <c r="O14" i="24"/>
  <c r="O15" i="24"/>
  <c r="O16" i="24"/>
  <c r="O38" i="24"/>
  <c r="O39" i="24"/>
  <c r="O40" i="24"/>
  <c r="O41" i="24"/>
  <c r="O42" i="24"/>
  <c r="O38" i="23"/>
  <c r="O39" i="23"/>
  <c r="O40" i="23"/>
  <c r="O41" i="23"/>
  <c r="O42" i="23"/>
  <c r="O50" i="23"/>
  <c r="O51" i="23"/>
  <c r="O52" i="23"/>
  <c r="O53" i="23"/>
  <c r="O54" i="23"/>
  <c r="AI12" i="22"/>
  <c r="AW12" i="22"/>
  <c r="AI13" i="22"/>
  <c r="AW13" i="22"/>
  <c r="AI14" i="22"/>
  <c r="AW14" i="22"/>
  <c r="AI15" i="22"/>
  <c r="AW15" i="22"/>
  <c r="AI16" i="22"/>
  <c r="AW16" i="22"/>
  <c r="AC28" i="22"/>
  <c r="BC28" i="22"/>
  <c r="AC29" i="22"/>
  <c r="BC29" i="22"/>
  <c r="AC30" i="22"/>
  <c r="BC30" i="22"/>
  <c r="AC31" i="22"/>
  <c r="BC31" i="22"/>
  <c r="AC32" i="22"/>
  <c r="BC32" i="22"/>
  <c r="AC43" i="22"/>
  <c r="BC43" i="22"/>
  <c r="AC44" i="22"/>
  <c r="BC44" i="22"/>
  <c r="AC45" i="22"/>
  <c r="BC45" i="22"/>
  <c r="AC46" i="22"/>
  <c r="BC46" i="22"/>
  <c r="AC47" i="22"/>
  <c r="BC47" i="22"/>
  <c r="AC57" i="22"/>
  <c r="BC57" i="22"/>
  <c r="AC58" i="22"/>
  <c r="BC58" i="22"/>
  <c r="AC59" i="22"/>
  <c r="BC59" i="22"/>
  <c r="AC60" i="22"/>
  <c r="BC60" i="22"/>
  <c r="AC61" i="22"/>
  <c r="BC61" i="22"/>
  <c r="AY14" i="18"/>
  <c r="AM14" i="18"/>
  <c r="AA14" i="18"/>
  <c r="O14" i="18"/>
  <c r="O28" i="18"/>
  <c r="AY43" i="17"/>
  <c r="AM43" i="17"/>
  <c r="AA43" i="17"/>
  <c r="O43" i="17"/>
  <c r="O27" i="26"/>
</calcChain>
</file>

<file path=xl/sharedStrings.xml><?xml version="1.0" encoding="utf-8"?>
<sst xmlns="http://schemas.openxmlformats.org/spreadsheetml/2006/main" count="2180" uniqueCount="875">
  <si>
    <t>(1)　ホ ー ム ヘ ル パ ー 派 遣 対 象 世 帯 数 ・ 派 遣 延 回 数</t>
    <rPh sb="18" eb="19">
      <t>ハ</t>
    </rPh>
    <rPh sb="20" eb="21">
      <t>ケン</t>
    </rPh>
    <rPh sb="22" eb="23">
      <t>タイ</t>
    </rPh>
    <rPh sb="24" eb="25">
      <t>ゾウ</t>
    </rPh>
    <rPh sb="26" eb="27">
      <t>ヨ</t>
    </rPh>
    <rPh sb="28" eb="29">
      <t>オビ</t>
    </rPh>
    <rPh sb="30" eb="31">
      <t>スウ</t>
    </rPh>
    <rPh sb="34" eb="35">
      <t>ハ</t>
    </rPh>
    <rPh sb="36" eb="37">
      <t>ケン</t>
    </rPh>
    <rPh sb="38" eb="39">
      <t>ノベ</t>
    </rPh>
    <rPh sb="40" eb="41">
      <t>カイ</t>
    </rPh>
    <rPh sb="42" eb="43">
      <t>スウ</t>
    </rPh>
    <phoneticPr fontId="3"/>
  </si>
  <si>
    <t>年度</t>
    <rPh sb="0" eb="2">
      <t>ネンド</t>
    </rPh>
    <phoneticPr fontId="3"/>
  </si>
  <si>
    <t>高齢者</t>
    <rPh sb="0" eb="3">
      <t>コウレイシャ</t>
    </rPh>
    <phoneticPr fontId="3"/>
  </si>
  <si>
    <t>難病患者等</t>
    <rPh sb="0" eb="2">
      <t>ナンビョウ</t>
    </rPh>
    <rPh sb="2" eb="4">
      <t>カンジャ</t>
    </rPh>
    <rPh sb="4" eb="5">
      <t>トウ</t>
    </rPh>
    <phoneticPr fontId="3"/>
  </si>
  <si>
    <t>ひとり親</t>
    <rPh sb="3" eb="4">
      <t>オヤ</t>
    </rPh>
    <phoneticPr fontId="3"/>
  </si>
  <si>
    <t>世帯数</t>
    <rPh sb="0" eb="3">
      <t>セタイスウ</t>
    </rPh>
    <phoneticPr fontId="3"/>
  </si>
  <si>
    <t>延回数</t>
    <rPh sb="0" eb="1">
      <t>ノベ</t>
    </rPh>
    <rPh sb="1" eb="3">
      <t>カイスウ</t>
    </rPh>
    <phoneticPr fontId="3"/>
  </si>
  <si>
    <t>平成</t>
    <rPh sb="0" eb="2">
      <t>ヘイセイ</t>
    </rPh>
    <phoneticPr fontId="3"/>
  </si>
  <si>
    <t>注</t>
    <rPh sb="0" eb="1">
      <t>チュウ</t>
    </rPh>
    <phoneticPr fontId="3"/>
  </si>
  <si>
    <t>資料</t>
    <rPh sb="0" eb="2">
      <t>シリョウ</t>
    </rPh>
    <phoneticPr fontId="3"/>
  </si>
  <si>
    <t>：</t>
    <phoneticPr fontId="3"/>
  </si>
  <si>
    <t>(2)　障 害 者 (児) ホ ー ム ヘ ル パ ー 派 遣 延 人 員 数 ・ 派 遣 延 時 間 数</t>
    <rPh sb="4" eb="5">
      <t>ショウ</t>
    </rPh>
    <rPh sb="6" eb="7">
      <t>ガイ</t>
    </rPh>
    <rPh sb="8" eb="9">
      <t>シャ</t>
    </rPh>
    <rPh sb="11" eb="12">
      <t>ジ</t>
    </rPh>
    <rPh sb="28" eb="29">
      <t>ハ</t>
    </rPh>
    <rPh sb="30" eb="31">
      <t>ケン</t>
    </rPh>
    <rPh sb="32" eb="33">
      <t>ノベ</t>
    </rPh>
    <rPh sb="34" eb="35">
      <t>ニン</t>
    </rPh>
    <rPh sb="36" eb="37">
      <t>イン</t>
    </rPh>
    <rPh sb="38" eb="39">
      <t>スウ</t>
    </rPh>
    <rPh sb="42" eb="43">
      <t>ハ</t>
    </rPh>
    <rPh sb="44" eb="45">
      <t>ケン</t>
    </rPh>
    <rPh sb="46" eb="47">
      <t>ノベ</t>
    </rPh>
    <rPh sb="48" eb="49">
      <t>トキ</t>
    </rPh>
    <rPh sb="50" eb="51">
      <t>カン</t>
    </rPh>
    <rPh sb="52" eb="53">
      <t>スウ</t>
    </rPh>
    <phoneticPr fontId="3"/>
  </si>
  <si>
    <t>移動支援</t>
    <rPh sb="0" eb="2">
      <t>イドウ</t>
    </rPh>
    <rPh sb="2" eb="4">
      <t>シエン</t>
    </rPh>
    <phoneticPr fontId="3"/>
  </si>
  <si>
    <t>重度訪問介護</t>
    <rPh sb="0" eb="2">
      <t>ジュウド</t>
    </rPh>
    <rPh sb="2" eb="4">
      <t>ホウモン</t>
    </rPh>
    <rPh sb="4" eb="6">
      <t>カイゴ</t>
    </rPh>
    <phoneticPr fontId="3"/>
  </si>
  <si>
    <t>延人員</t>
    <rPh sb="0" eb="3">
      <t>ノベジンイン</t>
    </rPh>
    <phoneticPr fontId="3"/>
  </si>
  <si>
    <t>派遣延時間</t>
    <rPh sb="0" eb="2">
      <t>ハケン</t>
    </rPh>
    <rPh sb="2" eb="3">
      <t>ノベ</t>
    </rPh>
    <rPh sb="3" eb="5">
      <t>ジカン</t>
    </rPh>
    <phoneticPr fontId="3"/>
  </si>
  <si>
    <t>福祉部障害者サービス調整担当課</t>
    <rPh sb="0" eb="2">
      <t>フクシ</t>
    </rPh>
    <rPh sb="2" eb="3">
      <t>ブ</t>
    </rPh>
    <rPh sb="3" eb="6">
      <t>ショウガイシャ</t>
    </rPh>
    <rPh sb="10" eb="12">
      <t>チョウセイ</t>
    </rPh>
    <rPh sb="12" eb="14">
      <t>タントウ</t>
    </rPh>
    <rPh sb="14" eb="15">
      <t>カ</t>
    </rPh>
    <phoneticPr fontId="3"/>
  </si>
  <si>
    <t>(各年度末現在)</t>
    <rPh sb="1" eb="5">
      <t>カクネンドマツ</t>
    </rPh>
    <rPh sb="5" eb="7">
      <t>ゲンザイ</t>
    </rPh>
    <phoneticPr fontId="3"/>
  </si>
  <si>
    <t>総数</t>
    <rPh sb="0" eb="2">
      <t>ソウスウ</t>
    </rPh>
    <phoneticPr fontId="3"/>
  </si>
  <si>
    <t>視覚障害</t>
    <rPh sb="0" eb="2">
      <t>シカク</t>
    </rPh>
    <rPh sb="2" eb="4">
      <t>ショウガイ</t>
    </rPh>
    <phoneticPr fontId="3"/>
  </si>
  <si>
    <t>聴覚または平衡機能障害</t>
    <rPh sb="0" eb="2">
      <t>チョウカク</t>
    </rPh>
    <rPh sb="5" eb="7">
      <t>ヘイコウ</t>
    </rPh>
    <rPh sb="7" eb="9">
      <t>キノウ</t>
    </rPh>
    <rPh sb="9" eb="11">
      <t>ショウガイ</t>
    </rPh>
    <phoneticPr fontId="3"/>
  </si>
  <si>
    <t>18歳未満</t>
    <rPh sb="2" eb="3">
      <t>サイ</t>
    </rPh>
    <rPh sb="3" eb="5">
      <t>ミマン</t>
    </rPh>
    <phoneticPr fontId="3"/>
  </si>
  <si>
    <t>18歳以上</t>
    <rPh sb="2" eb="3">
      <t>サイ</t>
    </rPh>
    <rPh sb="3" eb="5">
      <t>イジョウ</t>
    </rPh>
    <phoneticPr fontId="3"/>
  </si>
  <si>
    <t>音声または言語機能障害</t>
    <rPh sb="0" eb="2">
      <t>オンセイ</t>
    </rPh>
    <rPh sb="5" eb="7">
      <t>ゲンゴ</t>
    </rPh>
    <rPh sb="7" eb="9">
      <t>キノウ</t>
    </rPh>
    <rPh sb="9" eb="11">
      <t>ショウガイ</t>
    </rPh>
    <phoneticPr fontId="3"/>
  </si>
  <si>
    <t>肢体不自由</t>
    <rPh sb="0" eb="2">
      <t>シタイ</t>
    </rPh>
    <rPh sb="2" eb="5">
      <t>フジユウ</t>
    </rPh>
    <phoneticPr fontId="3"/>
  </si>
  <si>
    <t>内部障害</t>
    <rPh sb="0" eb="2">
      <t>ナイブ</t>
    </rPh>
    <rPh sb="2" eb="4">
      <t>ショウガイ</t>
    </rPh>
    <phoneticPr fontId="3"/>
  </si>
  <si>
    <t>福祉部石神井総合福祉事務所</t>
    <rPh sb="0" eb="2">
      <t>フクシ</t>
    </rPh>
    <rPh sb="2" eb="3">
      <t>ブ</t>
    </rPh>
    <rPh sb="3" eb="6">
      <t>シャクジイ</t>
    </rPh>
    <rPh sb="6" eb="8">
      <t>ソウゴウ</t>
    </rPh>
    <rPh sb="8" eb="10">
      <t>フクシ</t>
    </rPh>
    <rPh sb="10" eb="12">
      <t>ジム</t>
    </rPh>
    <rPh sb="12" eb="13">
      <t>ショ</t>
    </rPh>
    <phoneticPr fontId="3"/>
  </si>
  <si>
    <t>最重度</t>
    <rPh sb="0" eb="1">
      <t>サイ</t>
    </rPh>
    <rPh sb="1" eb="3">
      <t>ジュウド</t>
    </rPh>
    <phoneticPr fontId="3"/>
  </si>
  <si>
    <t>重度</t>
    <rPh sb="0" eb="2">
      <t>ジュウド</t>
    </rPh>
    <phoneticPr fontId="3"/>
  </si>
  <si>
    <t>中度</t>
    <rPh sb="0" eb="2">
      <t>チュウド</t>
    </rPh>
    <phoneticPr fontId="3"/>
  </si>
  <si>
    <t>軽度</t>
    <rPh sb="0" eb="2">
      <t>ケイド</t>
    </rPh>
    <phoneticPr fontId="3"/>
  </si>
  <si>
    <t>集会室
(洋　室)</t>
    <rPh sb="0" eb="3">
      <t>シュウカイシツ</t>
    </rPh>
    <rPh sb="5" eb="6">
      <t>ヨウ</t>
    </rPh>
    <rPh sb="7" eb="8">
      <t>シツ</t>
    </rPh>
    <phoneticPr fontId="3"/>
  </si>
  <si>
    <t>集会室
(和　室)</t>
    <rPh sb="0" eb="3">
      <t>シュウカイシツ</t>
    </rPh>
    <rPh sb="5" eb="6">
      <t>ワ</t>
    </rPh>
    <rPh sb="7" eb="8">
      <t>シツ</t>
    </rPh>
    <phoneticPr fontId="3"/>
  </si>
  <si>
    <t>小和室</t>
    <rPh sb="0" eb="1">
      <t>ショウ</t>
    </rPh>
    <rPh sb="1" eb="3">
      <t>ワシツ</t>
    </rPh>
    <phoneticPr fontId="3"/>
  </si>
  <si>
    <t>視聴覚室</t>
    <rPh sb="0" eb="3">
      <t>シチョウカク</t>
    </rPh>
    <rPh sb="3" eb="4">
      <t>シツ</t>
    </rPh>
    <phoneticPr fontId="3"/>
  </si>
  <si>
    <t>調理室</t>
    <rPh sb="0" eb="3">
      <t>チョウリシツ</t>
    </rPh>
    <phoneticPr fontId="3"/>
  </si>
  <si>
    <t>印刷室</t>
    <rPh sb="0" eb="3">
      <t>インサツシツ</t>
    </rPh>
    <phoneticPr fontId="3"/>
  </si>
  <si>
    <t>入浴</t>
    <rPh sb="0" eb="2">
      <t>ニュウヨク</t>
    </rPh>
    <phoneticPr fontId="3"/>
  </si>
  <si>
    <t>総数は、入浴を除く。</t>
    <rPh sb="0" eb="2">
      <t>ソウスウ</t>
    </rPh>
    <rPh sb="4" eb="6">
      <t>ニュウヨク</t>
    </rPh>
    <rPh sb="7" eb="8">
      <t>ノゾ</t>
    </rPh>
    <phoneticPr fontId="3"/>
  </si>
  <si>
    <t>福祉部障害者施策推進課</t>
    <rPh sb="0" eb="2">
      <t>フクシ</t>
    </rPh>
    <rPh sb="2" eb="3">
      <t>ブ</t>
    </rPh>
    <rPh sb="3" eb="6">
      <t>ショウガイシャ</t>
    </rPh>
    <rPh sb="6" eb="8">
      <t>シサク</t>
    </rPh>
    <rPh sb="8" eb="11">
      <t>スイシンカ</t>
    </rPh>
    <phoneticPr fontId="3"/>
  </si>
  <si>
    <t>電話相談件数</t>
    <rPh sb="0" eb="2">
      <t>デンワ</t>
    </rPh>
    <rPh sb="2" eb="4">
      <t>ソウダン</t>
    </rPh>
    <rPh sb="4" eb="6">
      <t>ケンスウ</t>
    </rPh>
    <phoneticPr fontId="3"/>
  </si>
  <si>
    <t>面接相談件数</t>
    <rPh sb="0" eb="2">
      <t>メンセツ</t>
    </rPh>
    <rPh sb="2" eb="4">
      <t>ソウダン</t>
    </rPh>
    <rPh sb="4" eb="6">
      <t>ケンスウ</t>
    </rPh>
    <phoneticPr fontId="3"/>
  </si>
  <si>
    <t>プログラム参加者数</t>
    <rPh sb="5" eb="8">
      <t>サンカシャ</t>
    </rPh>
    <rPh sb="8" eb="9">
      <t>スウ</t>
    </rPh>
    <phoneticPr fontId="3"/>
  </si>
  <si>
    <t>福祉部高齢社会対策課</t>
    <rPh sb="0" eb="2">
      <t>フクシ</t>
    </rPh>
    <rPh sb="2" eb="3">
      <t>ブ</t>
    </rPh>
    <rPh sb="3" eb="5">
      <t>コウレイ</t>
    </rPh>
    <rPh sb="5" eb="7">
      <t>シャカイ</t>
    </rPh>
    <rPh sb="7" eb="9">
      <t>タイサク</t>
    </rPh>
    <rPh sb="9" eb="10">
      <t>カ</t>
    </rPh>
    <phoneticPr fontId="3"/>
  </si>
  <si>
    <t>＊印は年度末日現在、無印は年度間の数値である。</t>
    <rPh sb="1" eb="2">
      <t>シルシ</t>
    </rPh>
    <rPh sb="3" eb="5">
      <t>ネンド</t>
    </rPh>
    <rPh sb="5" eb="7">
      <t>マツジツ</t>
    </rPh>
    <rPh sb="7" eb="9">
      <t>ゲンザイ</t>
    </rPh>
    <rPh sb="10" eb="12">
      <t>ムジルシ</t>
    </rPh>
    <rPh sb="13" eb="15">
      <t>ネンド</t>
    </rPh>
    <rPh sb="15" eb="16">
      <t>カン</t>
    </rPh>
    <rPh sb="17" eb="19">
      <t>スウチ</t>
    </rPh>
    <phoneticPr fontId="3"/>
  </si>
  <si>
    <t>「火災警報器」は平成22年度に貸与から給付に変更した。</t>
    <rPh sb="1" eb="3">
      <t>カサイ</t>
    </rPh>
    <rPh sb="3" eb="6">
      <t>ケイホウキ</t>
    </rPh>
    <rPh sb="8" eb="10">
      <t>ヘイセイ</t>
    </rPh>
    <rPh sb="12" eb="14">
      <t>ネンド</t>
    </rPh>
    <rPh sb="15" eb="17">
      <t>タイヨ</t>
    </rPh>
    <rPh sb="19" eb="21">
      <t>キュウフ</t>
    </rPh>
    <rPh sb="22" eb="24">
      <t>ヘンコウ</t>
    </rPh>
    <phoneticPr fontId="3"/>
  </si>
  <si>
    <t>(2)　高　齢　者　住　宅　対　策</t>
    <rPh sb="4" eb="5">
      <t>コウ</t>
    </rPh>
    <rPh sb="6" eb="7">
      <t>レイ</t>
    </rPh>
    <rPh sb="8" eb="9">
      <t>シャ</t>
    </rPh>
    <rPh sb="10" eb="11">
      <t>ジュウ</t>
    </rPh>
    <rPh sb="12" eb="13">
      <t>タク</t>
    </rPh>
    <rPh sb="14" eb="15">
      <t>タイ</t>
    </rPh>
    <rPh sb="16" eb="17">
      <t>サク</t>
    </rPh>
    <phoneticPr fontId="3"/>
  </si>
  <si>
    <t>集合住宅提供戸数</t>
    <rPh sb="0" eb="2">
      <t>シュウゴウ</t>
    </rPh>
    <rPh sb="2" eb="4">
      <t>ジュウタク</t>
    </rPh>
    <rPh sb="4" eb="6">
      <t>テイキョウ</t>
    </rPh>
    <rPh sb="6" eb="8">
      <t>コスウ</t>
    </rPh>
    <phoneticPr fontId="3"/>
  </si>
  <si>
    <t>福祉部高齢社会対策課、都市整備部住宅課</t>
    <rPh sb="0" eb="2">
      <t>フクシ</t>
    </rPh>
    <rPh sb="2" eb="3">
      <t>ブ</t>
    </rPh>
    <rPh sb="3" eb="5">
      <t>コウレイ</t>
    </rPh>
    <rPh sb="5" eb="7">
      <t>シャカイ</t>
    </rPh>
    <rPh sb="7" eb="9">
      <t>タイサク</t>
    </rPh>
    <rPh sb="9" eb="10">
      <t>カ</t>
    </rPh>
    <rPh sb="11" eb="13">
      <t>トシ</t>
    </rPh>
    <rPh sb="13" eb="15">
      <t>セイビ</t>
    </rPh>
    <rPh sb="15" eb="16">
      <t>ブ</t>
    </rPh>
    <rPh sb="16" eb="18">
      <t>ジュウタク</t>
    </rPh>
    <rPh sb="18" eb="19">
      <t>カ</t>
    </rPh>
    <phoneticPr fontId="3"/>
  </si>
  <si>
    <t>(3)　要　介　護　高　齢　者　対　策</t>
    <rPh sb="4" eb="5">
      <t>ヨウ</t>
    </rPh>
    <rPh sb="6" eb="7">
      <t>カイ</t>
    </rPh>
    <rPh sb="8" eb="9">
      <t>マモル</t>
    </rPh>
    <rPh sb="10" eb="11">
      <t>コウ</t>
    </rPh>
    <rPh sb="12" eb="13">
      <t>レイ</t>
    </rPh>
    <rPh sb="14" eb="15">
      <t>シャ</t>
    </rPh>
    <rPh sb="16" eb="17">
      <t>タイ</t>
    </rPh>
    <rPh sb="18" eb="19">
      <t>サク</t>
    </rPh>
    <phoneticPr fontId="3"/>
  </si>
  <si>
    <t>福祉部練馬総合福祉事務所</t>
    <rPh sb="0" eb="2">
      <t>フクシ</t>
    </rPh>
    <rPh sb="2" eb="3">
      <t>ブ</t>
    </rPh>
    <rPh sb="3" eb="5">
      <t>ネリマ</t>
    </rPh>
    <rPh sb="5" eb="7">
      <t>ソウゴウ</t>
    </rPh>
    <rPh sb="7" eb="9">
      <t>フクシ</t>
    </rPh>
    <rPh sb="9" eb="11">
      <t>ジム</t>
    </rPh>
    <rPh sb="11" eb="12">
      <t>ショ</t>
    </rPh>
    <phoneticPr fontId="3"/>
  </si>
  <si>
    <t>(4)　老　　人　　ク　　ラ　　ブ</t>
    <rPh sb="4" eb="5">
      <t>ロウ</t>
    </rPh>
    <rPh sb="7" eb="8">
      <t>ニン</t>
    </rPh>
    <phoneticPr fontId="3"/>
  </si>
  <si>
    <t>老人クラブ数</t>
    <rPh sb="0" eb="2">
      <t>ロウジン</t>
    </rPh>
    <rPh sb="5" eb="6">
      <t>スウ</t>
    </rPh>
    <phoneticPr fontId="3"/>
  </si>
  <si>
    <t>老人クラブ農園数</t>
    <rPh sb="0" eb="2">
      <t>ロウジン</t>
    </rPh>
    <rPh sb="5" eb="7">
      <t>ノウエン</t>
    </rPh>
    <rPh sb="7" eb="8">
      <t>スウ</t>
    </rPh>
    <phoneticPr fontId="3"/>
  </si>
  <si>
    <t>ゲートボール場数</t>
    <rPh sb="6" eb="7">
      <t>ジョウ</t>
    </rPh>
    <rPh sb="7" eb="8">
      <t>スウ</t>
    </rPh>
    <phoneticPr fontId="3"/>
  </si>
  <si>
    <t>福祉部高齢者社会対策課</t>
    <rPh sb="0" eb="2">
      <t>フクシ</t>
    </rPh>
    <rPh sb="2" eb="3">
      <t>ブ</t>
    </rPh>
    <rPh sb="3" eb="6">
      <t>コウレイシャ</t>
    </rPh>
    <rPh sb="6" eb="8">
      <t>シャカイ</t>
    </rPh>
    <rPh sb="8" eb="10">
      <t>タイサク</t>
    </rPh>
    <rPh sb="10" eb="11">
      <t>カ</t>
    </rPh>
    <phoneticPr fontId="3"/>
  </si>
  <si>
    <t>資料</t>
    <rPh sb="0" eb="2">
      <t>シリョウ</t>
    </rPh>
    <phoneticPr fontId="6"/>
  </si>
  <si>
    <t>：</t>
    <phoneticPr fontId="6"/>
  </si>
  <si>
    <t>年度</t>
    <rPh sb="0" eb="2">
      <t>ネンド</t>
    </rPh>
    <phoneticPr fontId="6"/>
  </si>
  <si>
    <t>養護老人ホーム</t>
    <rPh sb="0" eb="2">
      <t>ヨウゴ</t>
    </rPh>
    <rPh sb="2" eb="4">
      <t>ロウジン</t>
    </rPh>
    <phoneticPr fontId="6"/>
  </si>
  <si>
    <t>軽費老人ホーム</t>
    <rPh sb="0" eb="2">
      <t>ケイヒ</t>
    </rPh>
    <rPh sb="2" eb="4">
      <t>ロウジン</t>
    </rPh>
    <phoneticPr fontId="6"/>
  </si>
  <si>
    <t>入所者</t>
    <rPh sb="0" eb="3">
      <t>ニュウショシャ</t>
    </rPh>
    <phoneticPr fontId="6"/>
  </si>
  <si>
    <t>退所者</t>
    <rPh sb="0" eb="2">
      <t>タイショ</t>
    </rPh>
    <rPh sb="2" eb="3">
      <t>シャ</t>
    </rPh>
    <phoneticPr fontId="6"/>
  </si>
  <si>
    <t>待機者</t>
    <rPh sb="0" eb="3">
      <t>タイキシャ</t>
    </rPh>
    <phoneticPr fontId="6"/>
  </si>
  <si>
    <t>在所者</t>
    <rPh sb="0" eb="2">
      <t>ザイショ</t>
    </rPh>
    <rPh sb="2" eb="3">
      <t>シャ</t>
    </rPh>
    <phoneticPr fontId="6"/>
  </si>
  <si>
    <t>平成</t>
    <rPh sb="0" eb="2">
      <t>ヘイセイ</t>
    </rPh>
    <phoneticPr fontId="6"/>
  </si>
  <si>
    <t>注</t>
    <rPh sb="0" eb="1">
      <t>チュウ</t>
    </rPh>
    <phoneticPr fontId="6"/>
  </si>
  <si>
    <t>(各年度末現在)</t>
    <rPh sb="1" eb="5">
      <t>カクネンドマツ</t>
    </rPh>
    <rPh sb="5" eb="7">
      <t>ゲンザイ</t>
    </rPh>
    <phoneticPr fontId="7"/>
  </si>
  <si>
    <t>年度</t>
    <rPh sb="0" eb="2">
      <t>ネンド</t>
    </rPh>
    <phoneticPr fontId="7"/>
  </si>
  <si>
    <t>福祉手当受給者数</t>
    <rPh sb="0" eb="2">
      <t>フクシ</t>
    </rPh>
    <rPh sb="2" eb="4">
      <t>テアテ</t>
    </rPh>
    <rPh sb="4" eb="7">
      <t>ジュキュウシャ</t>
    </rPh>
    <rPh sb="7" eb="8">
      <t>スウ</t>
    </rPh>
    <phoneticPr fontId="7"/>
  </si>
  <si>
    <t>平成</t>
    <rPh sb="0" eb="2">
      <t>ヘイセイ</t>
    </rPh>
    <phoneticPr fontId="7"/>
  </si>
  <si>
    <t>注</t>
    <rPh sb="0" eb="1">
      <t>チュウ</t>
    </rPh>
    <phoneticPr fontId="7"/>
  </si>
  <si>
    <t>資料</t>
    <rPh sb="0" eb="2">
      <t>シリョウ</t>
    </rPh>
    <phoneticPr fontId="7"/>
  </si>
  <si>
    <t>：</t>
    <phoneticPr fontId="7"/>
  </si>
  <si>
    <t>福祉部練馬総合福祉事務所</t>
    <rPh sb="0" eb="2">
      <t>フクシ</t>
    </rPh>
    <rPh sb="2" eb="3">
      <t>ブ</t>
    </rPh>
    <rPh sb="3" eb="5">
      <t>ネリマ</t>
    </rPh>
    <rPh sb="5" eb="7">
      <t>ソウゴウ</t>
    </rPh>
    <rPh sb="7" eb="9">
      <t>フクシ</t>
    </rPh>
    <rPh sb="9" eb="11">
      <t>ジム</t>
    </rPh>
    <rPh sb="11" eb="12">
      <t>ショ</t>
    </rPh>
    <phoneticPr fontId="7"/>
  </si>
  <si>
    <t>(1)　就 労 継 続 支 援 Ｂ 型 事 業 実 施 施 設 通 所 者 数</t>
    <rPh sb="4" eb="5">
      <t>シュウ</t>
    </rPh>
    <rPh sb="6" eb="7">
      <t>ロウ</t>
    </rPh>
    <rPh sb="8" eb="9">
      <t>ツギ</t>
    </rPh>
    <rPh sb="10" eb="11">
      <t>ゾク</t>
    </rPh>
    <rPh sb="12" eb="13">
      <t>シ</t>
    </rPh>
    <rPh sb="14" eb="15">
      <t>エン</t>
    </rPh>
    <rPh sb="18" eb="19">
      <t>ガタ</t>
    </rPh>
    <rPh sb="20" eb="21">
      <t>ジ</t>
    </rPh>
    <rPh sb="22" eb="23">
      <t>ギョウ</t>
    </rPh>
    <rPh sb="24" eb="25">
      <t>ジツ</t>
    </rPh>
    <rPh sb="26" eb="27">
      <t>シ</t>
    </rPh>
    <rPh sb="28" eb="29">
      <t>シ</t>
    </rPh>
    <rPh sb="30" eb="31">
      <t>セツ</t>
    </rPh>
    <rPh sb="32" eb="33">
      <t>ツウ</t>
    </rPh>
    <rPh sb="34" eb="35">
      <t>ショ</t>
    </rPh>
    <rPh sb="36" eb="37">
      <t>シャ</t>
    </rPh>
    <rPh sb="38" eb="39">
      <t>スウ</t>
    </rPh>
    <phoneticPr fontId="7"/>
  </si>
  <si>
    <t>(各年４月１日現在)</t>
    <rPh sb="1" eb="3">
      <t>カクネン</t>
    </rPh>
    <rPh sb="4" eb="5">
      <t>ガツ</t>
    </rPh>
    <rPh sb="6" eb="7">
      <t>ニチ</t>
    </rPh>
    <rPh sb="7" eb="9">
      <t>ゲンザイ</t>
    </rPh>
    <phoneticPr fontId="7"/>
  </si>
  <si>
    <t>年</t>
    <rPh sb="0" eb="1">
      <t>ネン</t>
    </rPh>
    <phoneticPr fontId="7"/>
  </si>
  <si>
    <t>白百合</t>
    <rPh sb="0" eb="3">
      <t>シラユリ</t>
    </rPh>
    <phoneticPr fontId="7"/>
  </si>
  <si>
    <t>かたくり</t>
    <phoneticPr fontId="7"/>
  </si>
  <si>
    <t>大泉</t>
    <rPh sb="0" eb="2">
      <t>オオイズミ</t>
    </rPh>
    <phoneticPr fontId="7"/>
  </si>
  <si>
    <t>北町</t>
    <rPh sb="0" eb="2">
      <t>キタマチ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</si>
  <si>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</si>
  <si>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</si>
  <si>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</si>
  <si>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福祉部障害者施策推進課</t>
    <rPh sb="0" eb="2">
      <t>フクシ</t>
    </rPh>
    <rPh sb="2" eb="3">
      <t>ブ</t>
    </rPh>
    <rPh sb="3" eb="6">
      <t>ショウガイシャ</t>
    </rPh>
    <rPh sb="6" eb="8">
      <t>シサク</t>
    </rPh>
    <rPh sb="8" eb="11">
      <t>スイシンカ</t>
    </rPh>
    <phoneticPr fontId="7"/>
  </si>
  <si>
    <t>(2)　就 労 継 続 支 援 Ｂ 型 事 業 実 施 施 設 工 賃 支 払 高</t>
    <rPh sb="4" eb="5">
      <t>シュウ</t>
    </rPh>
    <rPh sb="6" eb="7">
      <t>ロウ</t>
    </rPh>
    <rPh sb="8" eb="9">
      <t>ツギ</t>
    </rPh>
    <rPh sb="10" eb="11">
      <t>ゾク</t>
    </rPh>
    <rPh sb="12" eb="13">
      <t>シ</t>
    </rPh>
    <rPh sb="14" eb="15">
      <t>エン</t>
    </rPh>
    <rPh sb="18" eb="19">
      <t>ガタ</t>
    </rPh>
    <rPh sb="20" eb="21">
      <t>ジ</t>
    </rPh>
    <rPh sb="22" eb="23">
      <t>ギョウ</t>
    </rPh>
    <rPh sb="24" eb="25">
      <t>ジツ</t>
    </rPh>
    <rPh sb="26" eb="27">
      <t>シ</t>
    </rPh>
    <rPh sb="28" eb="29">
      <t>シ</t>
    </rPh>
    <rPh sb="30" eb="31">
      <t>セツ</t>
    </rPh>
    <rPh sb="32" eb="33">
      <t>コウ</t>
    </rPh>
    <rPh sb="34" eb="35">
      <t>チン</t>
    </rPh>
    <rPh sb="36" eb="37">
      <t>シ</t>
    </rPh>
    <rPh sb="38" eb="39">
      <t>バライ</t>
    </rPh>
    <rPh sb="40" eb="41">
      <t>ダカ</t>
    </rPh>
    <phoneticPr fontId="7"/>
  </si>
  <si>
    <t>総額</t>
    <rPh sb="0" eb="2">
      <t>ソウガク</t>
    </rPh>
    <phoneticPr fontId="7"/>
  </si>
  <si>
    <t>実働月延人数</t>
    <rPh sb="0" eb="2">
      <t>ジツドウ</t>
    </rPh>
    <rPh sb="2" eb="3">
      <t>ツキ</t>
    </rPh>
    <rPh sb="3" eb="4">
      <t>ノベ</t>
    </rPh>
    <rPh sb="4" eb="6">
      <t>ニンズ</t>
    </rPh>
    <phoneticPr fontId="7"/>
  </si>
  <si>
    <t>一人当り月額</t>
    <rPh sb="0" eb="2">
      <t>ヒトリ</t>
    </rPh>
    <rPh sb="2" eb="3">
      <t>アタ</t>
    </rPh>
    <rPh sb="4" eb="6">
      <t>ゲツガク</t>
    </rPh>
    <phoneticPr fontId="7"/>
  </si>
  <si>
    <t>円</t>
    <rPh sb="0" eb="1">
      <t>エン</t>
    </rPh>
    <phoneticPr fontId="7"/>
  </si>
  <si>
    <t>(3)　就　労　移　行　支　援　事　業　実　施　施　設　通　所　者　数</t>
    <rPh sb="4" eb="5">
      <t>シュウ</t>
    </rPh>
    <rPh sb="6" eb="7">
      <t>ロウ</t>
    </rPh>
    <rPh sb="8" eb="9">
      <t>ワタル</t>
    </rPh>
    <rPh sb="10" eb="11">
      <t>ギョウ</t>
    </rPh>
    <rPh sb="12" eb="13">
      <t>シ</t>
    </rPh>
    <rPh sb="14" eb="15">
      <t>エン</t>
    </rPh>
    <rPh sb="16" eb="17">
      <t>ジ</t>
    </rPh>
    <rPh sb="18" eb="19">
      <t>ギョウ</t>
    </rPh>
    <rPh sb="20" eb="21">
      <t>ジツ</t>
    </rPh>
    <rPh sb="22" eb="23">
      <t>シ</t>
    </rPh>
    <rPh sb="24" eb="25">
      <t>シ</t>
    </rPh>
    <rPh sb="26" eb="27">
      <t>セツ</t>
    </rPh>
    <rPh sb="28" eb="29">
      <t>ツウ</t>
    </rPh>
    <rPh sb="30" eb="31">
      <t>ショ</t>
    </rPh>
    <rPh sb="32" eb="33">
      <t>シャ</t>
    </rPh>
    <rPh sb="34" eb="35">
      <t>スウ</t>
    </rPh>
    <phoneticPr fontId="7"/>
  </si>
  <si>
    <t>貫井福祉工房</t>
    <rPh sb="0" eb="2">
      <t>ヌクイ</t>
    </rPh>
    <rPh sb="2" eb="4">
      <t>フクシ</t>
    </rPh>
    <rPh sb="4" eb="6">
      <t>コウボウ</t>
    </rPh>
    <phoneticPr fontId="7"/>
  </si>
  <si>
    <t>(1)　世　帯　数　お　よ　び　人　員</t>
    <rPh sb="4" eb="5">
      <t>ヨ</t>
    </rPh>
    <rPh sb="6" eb="7">
      <t>オビ</t>
    </rPh>
    <rPh sb="8" eb="9">
      <t>スウ</t>
    </rPh>
    <rPh sb="16" eb="17">
      <t>ニン</t>
    </rPh>
    <rPh sb="18" eb="19">
      <t>イン</t>
    </rPh>
    <phoneticPr fontId="8"/>
  </si>
  <si>
    <t>世帯数</t>
    <rPh sb="0" eb="3">
      <t>セタイスウ</t>
    </rPh>
    <phoneticPr fontId="8"/>
  </si>
  <si>
    <t>人員</t>
    <rPh sb="0" eb="2">
      <t>ジンイン</t>
    </rPh>
    <phoneticPr fontId="8"/>
  </si>
  <si>
    <t>年度</t>
    <rPh sb="0" eb="2">
      <t>ネンド</t>
    </rPh>
    <phoneticPr fontId="8"/>
  </si>
  <si>
    <t>平成</t>
    <rPh sb="0" eb="2">
      <t>ヘイセイ</t>
    </rPh>
    <phoneticPr fontId="8"/>
  </si>
  <si>
    <t>実数</t>
    <rPh sb="0" eb="2">
      <t>ジッスウ</t>
    </rPh>
    <phoneticPr fontId="8"/>
  </si>
  <si>
    <t>生活扶助</t>
    <rPh sb="0" eb="2">
      <t>セイカツ</t>
    </rPh>
    <rPh sb="2" eb="4">
      <t>フジョ</t>
    </rPh>
    <phoneticPr fontId="8"/>
  </si>
  <si>
    <t>住宅扶助</t>
    <rPh sb="0" eb="2">
      <t>ジュウタク</t>
    </rPh>
    <rPh sb="2" eb="4">
      <t>フジョ</t>
    </rPh>
    <phoneticPr fontId="8"/>
  </si>
  <si>
    <t>教育扶助</t>
    <rPh sb="0" eb="2">
      <t>キョウイク</t>
    </rPh>
    <rPh sb="2" eb="4">
      <t>フジョ</t>
    </rPh>
    <phoneticPr fontId="8"/>
  </si>
  <si>
    <t>介護扶助</t>
    <rPh sb="0" eb="2">
      <t>カイゴ</t>
    </rPh>
    <rPh sb="2" eb="4">
      <t>フジョ</t>
    </rPh>
    <phoneticPr fontId="8"/>
  </si>
  <si>
    <t>医療扶助</t>
    <rPh sb="0" eb="2">
      <t>イリョウ</t>
    </rPh>
    <rPh sb="2" eb="4">
      <t>フジョ</t>
    </rPh>
    <phoneticPr fontId="8"/>
  </si>
  <si>
    <t>出産扶助</t>
    <rPh sb="0" eb="2">
      <t>シュッサン</t>
    </rPh>
    <rPh sb="2" eb="4">
      <t>フジョ</t>
    </rPh>
    <phoneticPr fontId="8"/>
  </si>
  <si>
    <t>生業扶助</t>
    <rPh sb="0" eb="2">
      <t>セイギョウ</t>
    </rPh>
    <rPh sb="2" eb="4">
      <t>フジョ</t>
    </rPh>
    <phoneticPr fontId="8"/>
  </si>
  <si>
    <t>葬祭扶助</t>
    <rPh sb="0" eb="2">
      <t>ソウサイ</t>
    </rPh>
    <rPh sb="2" eb="4">
      <t>フジョ</t>
    </rPh>
    <phoneticPr fontId="8"/>
  </si>
  <si>
    <t>資料</t>
    <rPh sb="0" eb="2">
      <t>シリョウ</t>
    </rPh>
    <phoneticPr fontId="8"/>
  </si>
  <si>
    <t>：</t>
    <phoneticPr fontId="8"/>
  </si>
  <si>
    <t>福祉部練馬総合福祉事務所</t>
    <rPh sb="0" eb="2">
      <t>フクシ</t>
    </rPh>
    <rPh sb="2" eb="3">
      <t>ブ</t>
    </rPh>
    <rPh sb="3" eb="5">
      <t>ネリマ</t>
    </rPh>
    <rPh sb="5" eb="7">
      <t>ソウゴウ</t>
    </rPh>
    <rPh sb="7" eb="9">
      <t>フクシ</t>
    </rPh>
    <rPh sb="9" eb="11">
      <t>ジム</t>
    </rPh>
    <rPh sb="11" eb="12">
      <t>ショ</t>
    </rPh>
    <phoneticPr fontId="8"/>
  </si>
  <si>
    <t>(2)　保　護　費　支　出　状　況</t>
    <rPh sb="4" eb="5">
      <t>タモツ</t>
    </rPh>
    <rPh sb="6" eb="7">
      <t>マモル</t>
    </rPh>
    <rPh sb="8" eb="9">
      <t>ヒ</t>
    </rPh>
    <rPh sb="10" eb="11">
      <t>シ</t>
    </rPh>
    <rPh sb="12" eb="13">
      <t>デ</t>
    </rPh>
    <rPh sb="14" eb="15">
      <t>ジョウ</t>
    </rPh>
    <rPh sb="16" eb="17">
      <t>キョウ</t>
    </rPh>
    <phoneticPr fontId="8"/>
  </si>
  <si>
    <t>総額</t>
    <rPh sb="0" eb="2">
      <t>ソウガク</t>
    </rPh>
    <phoneticPr fontId="8"/>
  </si>
  <si>
    <t>保護施設委託費</t>
    <rPh sb="0" eb="2">
      <t>ホゴ</t>
    </rPh>
    <rPh sb="2" eb="4">
      <t>シセツ</t>
    </rPh>
    <rPh sb="4" eb="6">
      <t>イタク</t>
    </rPh>
    <rPh sb="6" eb="7">
      <t>ヒ</t>
    </rPh>
    <phoneticPr fontId="8"/>
  </si>
  <si>
    <t>(3)　保　護　の　開　始　・　廃　止　状　況</t>
    <rPh sb="4" eb="5">
      <t>タモツ</t>
    </rPh>
    <rPh sb="6" eb="7">
      <t>マモル</t>
    </rPh>
    <rPh sb="10" eb="11">
      <t>カイ</t>
    </rPh>
    <rPh sb="12" eb="13">
      <t>ハジメ</t>
    </rPh>
    <rPh sb="16" eb="17">
      <t>ハイ</t>
    </rPh>
    <rPh sb="18" eb="19">
      <t>トメ</t>
    </rPh>
    <rPh sb="20" eb="21">
      <t>ジョウ</t>
    </rPh>
    <rPh sb="22" eb="23">
      <t>キョウ</t>
    </rPh>
    <phoneticPr fontId="8"/>
  </si>
  <si>
    <t>申請受理
件　　数</t>
    <rPh sb="0" eb="2">
      <t>シンセイ</t>
    </rPh>
    <rPh sb="2" eb="4">
      <t>ジュリ</t>
    </rPh>
    <rPh sb="5" eb="6">
      <t>ケン</t>
    </rPh>
    <rPh sb="8" eb="9">
      <t>スウ</t>
    </rPh>
    <phoneticPr fontId="8"/>
  </si>
  <si>
    <t>取り下げ
件　　数</t>
    <rPh sb="0" eb="1">
      <t>ト</t>
    </rPh>
    <rPh sb="2" eb="3">
      <t>サ</t>
    </rPh>
    <rPh sb="5" eb="6">
      <t>ケン</t>
    </rPh>
    <rPh sb="8" eb="9">
      <t>スウ</t>
    </rPh>
    <phoneticPr fontId="8"/>
  </si>
  <si>
    <t>却下件数</t>
    <rPh sb="0" eb="2">
      <t>キャッカ</t>
    </rPh>
    <rPh sb="2" eb="4">
      <t>ケンスウ</t>
    </rPh>
    <phoneticPr fontId="8"/>
  </si>
  <si>
    <t>開始数</t>
    <rPh sb="0" eb="2">
      <t>カイシ</t>
    </rPh>
    <rPh sb="2" eb="3">
      <t>スウ</t>
    </rPh>
    <phoneticPr fontId="8"/>
  </si>
  <si>
    <t>廃止数</t>
    <rPh sb="0" eb="2">
      <t>ハイシ</t>
    </rPh>
    <rPh sb="2" eb="3">
      <t>スウ</t>
    </rPh>
    <phoneticPr fontId="8"/>
  </si>
  <si>
    <t>世帯</t>
    <rPh sb="0" eb="2">
      <t>セタイ</t>
    </rPh>
    <phoneticPr fontId="8"/>
  </si>
  <si>
    <t>千円</t>
    <rPh sb="0" eb="2">
      <t>センエン</t>
    </rPh>
    <phoneticPr fontId="8"/>
  </si>
  <si>
    <t>重度心身障害者</t>
    <rPh sb="0" eb="2">
      <t>ジュウド</t>
    </rPh>
    <rPh sb="2" eb="4">
      <t>シンシン</t>
    </rPh>
    <rPh sb="4" eb="7">
      <t>ショウガイシャ</t>
    </rPh>
    <phoneticPr fontId="7"/>
  </si>
  <si>
    <t>国の重度障害者
福 　祉 　手 　当</t>
    <rPh sb="0" eb="1">
      <t>クニ</t>
    </rPh>
    <rPh sb="2" eb="4">
      <t>ジュウド</t>
    </rPh>
    <rPh sb="4" eb="7">
      <t>ショウガイシャ</t>
    </rPh>
    <rPh sb="8" eb="9">
      <t>フク</t>
    </rPh>
    <rPh sb="11" eb="12">
      <t>シ</t>
    </rPh>
    <rPh sb="14" eb="15">
      <t>テ</t>
    </rPh>
    <rPh sb="17" eb="18">
      <t>トウ</t>
    </rPh>
    <phoneticPr fontId="7"/>
  </si>
  <si>
    <t>医療費助成</t>
    <rPh sb="0" eb="3">
      <t>イリョウヒ</t>
    </rPh>
    <rPh sb="3" eb="5">
      <t>ジョセイ</t>
    </rPh>
    <phoneticPr fontId="7"/>
  </si>
  <si>
    <t>白紙ページ</t>
    <rPh sb="0" eb="2">
      <t>ハクシ</t>
    </rPh>
    <phoneticPr fontId="10"/>
  </si>
  <si>
    <t>福祉部高齢社会対策課、福祉部石神井総合福祉事務所</t>
    <rPh sb="0" eb="2">
      <t>フクシ</t>
    </rPh>
    <rPh sb="2" eb="3">
      <t>ブ</t>
    </rPh>
    <rPh sb="3" eb="5">
      <t>コウレイ</t>
    </rPh>
    <rPh sb="5" eb="7">
      <t>シャカイ</t>
    </rPh>
    <rPh sb="7" eb="9">
      <t>タイサク</t>
    </rPh>
    <rPh sb="9" eb="10">
      <t>カ</t>
    </rPh>
    <rPh sb="11" eb="13">
      <t>フクシ</t>
    </rPh>
    <rPh sb="13" eb="14">
      <t>ブ</t>
    </rPh>
    <rPh sb="14" eb="17">
      <t>シャクジイ</t>
    </rPh>
    <rPh sb="17" eb="19">
      <t>ソウゴウ</t>
    </rPh>
    <rPh sb="19" eb="21">
      <t>フクシ</t>
    </rPh>
    <rPh sb="21" eb="23">
      <t>ジム</t>
    </rPh>
    <rPh sb="23" eb="24">
      <t>ショ</t>
    </rPh>
    <phoneticPr fontId="3"/>
  </si>
  <si>
    <t>福祉部高齢社会対策課、福祉部光が丘総合福祉事務所</t>
    <rPh sb="0" eb="2">
      <t>フクシ</t>
    </rPh>
    <rPh sb="2" eb="3">
      <t>ブ</t>
    </rPh>
    <rPh sb="3" eb="5">
      <t>コウレイ</t>
    </rPh>
    <rPh sb="5" eb="7">
      <t>シャカイ</t>
    </rPh>
    <rPh sb="7" eb="9">
      <t>タイサク</t>
    </rPh>
    <rPh sb="9" eb="10">
      <t>カ</t>
    </rPh>
    <rPh sb="11" eb="13">
      <t>フクシ</t>
    </rPh>
    <rPh sb="13" eb="14">
      <t>ブ</t>
    </rPh>
    <rPh sb="14" eb="15">
      <t>ヒカリ</t>
    </rPh>
    <rPh sb="16" eb="17">
      <t>オカ</t>
    </rPh>
    <rPh sb="17" eb="19">
      <t>ソウゴウ</t>
    </rPh>
    <rPh sb="19" eb="21">
      <t>フクシ</t>
    </rPh>
    <rPh sb="21" eb="23">
      <t>ジム</t>
    </rPh>
    <rPh sb="23" eb="24">
      <t>ショ</t>
    </rPh>
    <phoneticPr fontId="6"/>
  </si>
  <si>
    <t>：</t>
    <phoneticPr fontId="3"/>
  </si>
  <si>
    <t>：</t>
    <phoneticPr fontId="3"/>
  </si>
  <si>
    <t>かたくり福祉作業所は平成21年度、北町福祉作業所は平成23年度、大泉福祉作業所は平成24年度から就労移行支援事業を実施している。</t>
    <rPh sb="4" eb="6">
      <t>フクシ</t>
    </rPh>
    <rPh sb="6" eb="8">
      <t>サギョウ</t>
    </rPh>
    <rPh sb="8" eb="9">
      <t>ショ</t>
    </rPh>
    <rPh sb="10" eb="12">
      <t>ヘイセイ</t>
    </rPh>
    <rPh sb="14" eb="16">
      <t>ネンド</t>
    </rPh>
    <rPh sb="17" eb="19">
      <t>キタマチ</t>
    </rPh>
    <rPh sb="19" eb="21">
      <t>フクシ</t>
    </rPh>
    <rPh sb="21" eb="23">
      <t>サギョウ</t>
    </rPh>
    <rPh sb="23" eb="24">
      <t>ショ</t>
    </rPh>
    <rPh sb="25" eb="27">
      <t>ヘイセイ</t>
    </rPh>
    <rPh sb="29" eb="31">
      <t>ネンド</t>
    </rPh>
    <rPh sb="32" eb="34">
      <t>オオイズミ</t>
    </rPh>
    <rPh sb="34" eb="36">
      <t>フクシ</t>
    </rPh>
    <rPh sb="36" eb="38">
      <t>サギョウ</t>
    </rPh>
    <rPh sb="38" eb="39">
      <t>ショ</t>
    </rPh>
    <rPh sb="40" eb="42">
      <t>ヘイセイ</t>
    </rPh>
    <rPh sb="44" eb="46">
      <t>ネンド</t>
    </rPh>
    <rPh sb="48" eb="50">
      <t>シュウロウ</t>
    </rPh>
    <rPh sb="50" eb="52">
      <t>イコウ</t>
    </rPh>
    <rPh sb="52" eb="54">
      <t>シエン</t>
    </rPh>
    <rPh sb="54" eb="56">
      <t>ジギョウ</t>
    </rPh>
    <rPh sb="57" eb="59">
      <t>ジッシ</t>
    </rPh>
    <phoneticPr fontId="7"/>
  </si>
  <si>
    <t>練馬区</t>
    <rPh sb="0" eb="1">
      <t>ネリ</t>
    </rPh>
    <rPh sb="1" eb="2">
      <t>ウマ</t>
    </rPh>
    <rPh sb="2" eb="3">
      <t>ク</t>
    </rPh>
    <phoneticPr fontId="7"/>
  </si>
  <si>
    <t>心身障害者</t>
    <rPh sb="0" eb="1">
      <t>ココロ</t>
    </rPh>
    <rPh sb="1" eb="2">
      <t>ミ</t>
    </rPh>
    <rPh sb="2" eb="3">
      <t>ショウ</t>
    </rPh>
    <rPh sb="3" eb="4">
      <t>ガイ</t>
    </rPh>
    <rPh sb="4" eb="5">
      <t>シャ</t>
    </rPh>
    <phoneticPr fontId="7"/>
  </si>
  <si>
    <t>福祉手当</t>
    <rPh sb="0" eb="1">
      <t>フク</t>
    </rPh>
    <rPh sb="1" eb="2">
      <t>シ</t>
    </rPh>
    <rPh sb="2" eb="3">
      <t>テ</t>
    </rPh>
    <rPh sb="3" eb="4">
      <t>トウ</t>
    </rPh>
    <phoneticPr fontId="7"/>
  </si>
  <si>
    <t>東京都</t>
    <rPh sb="0" eb="1">
      <t>ヒガシ</t>
    </rPh>
    <rPh sb="1" eb="2">
      <t>キョウ</t>
    </rPh>
    <rPh sb="2" eb="3">
      <t>ト</t>
    </rPh>
    <phoneticPr fontId="7"/>
  </si>
  <si>
    <t>手当</t>
    <rPh sb="0" eb="1">
      <t>テ</t>
    </rPh>
    <rPh sb="1" eb="2">
      <t>トウ</t>
    </rPh>
    <phoneticPr fontId="7"/>
  </si>
  <si>
    <t>対象者数</t>
    <rPh sb="0" eb="1">
      <t>タイ</t>
    </rPh>
    <rPh sb="1" eb="2">
      <t>ゾウ</t>
    </rPh>
    <rPh sb="2" eb="3">
      <t>シャ</t>
    </rPh>
    <rPh sb="3" eb="4">
      <t>スウ</t>
    </rPh>
    <phoneticPr fontId="7"/>
  </si>
  <si>
    <t>所持者数</t>
    <rPh sb="0" eb="3">
      <t>ショジシャ</t>
    </rPh>
    <rPh sb="3" eb="4">
      <t>スウ</t>
    </rPh>
    <phoneticPr fontId="3"/>
  </si>
  <si>
    <t>等級別内訳</t>
    <rPh sb="0" eb="2">
      <t>トウキュウ</t>
    </rPh>
    <rPh sb="2" eb="3">
      <t>ベツ</t>
    </rPh>
    <rPh sb="3" eb="5">
      <t>ウチワケ</t>
    </rPh>
    <phoneticPr fontId="3"/>
  </si>
  <si>
    <t>１級</t>
    <rPh sb="1" eb="2">
      <t>キュウ</t>
    </rPh>
    <phoneticPr fontId="3"/>
  </si>
  <si>
    <t>２級</t>
    <rPh sb="1" eb="2">
      <t>キュウ</t>
    </rPh>
    <phoneticPr fontId="3"/>
  </si>
  <si>
    <t>３級</t>
    <rPh sb="1" eb="2">
      <t>キュウ</t>
    </rPh>
    <phoneticPr fontId="3"/>
  </si>
  <si>
    <t>：</t>
    <phoneticPr fontId="3"/>
  </si>
  <si>
    <t>健康部保健予防課</t>
    <rPh sb="0" eb="2">
      <t>ケンコウ</t>
    </rPh>
    <rPh sb="2" eb="3">
      <t>ブ</t>
    </rPh>
    <rPh sb="3" eb="5">
      <t>ホケン</t>
    </rPh>
    <rPh sb="5" eb="8">
      <t>ヨボウカ</t>
    </rPh>
    <phoneticPr fontId="3"/>
  </si>
  <si>
    <t>うち区立高齢者集合住宅</t>
    <rPh sb="2" eb="4">
      <t>クリツ</t>
    </rPh>
    <rPh sb="4" eb="7">
      <t>コウレイシャ</t>
    </rPh>
    <rPh sb="7" eb="9">
      <t>シュウゴウ</t>
    </rPh>
    <rPh sb="9" eb="11">
      <t>ジュウタク</t>
    </rPh>
    <phoneticPr fontId="13"/>
  </si>
  <si>
    <t>入浴証
交付人員</t>
    <rPh sb="0" eb="1">
      <t>ニュウ</t>
    </rPh>
    <rPh sb="1" eb="2">
      <t>ヨク</t>
    </rPh>
    <rPh sb="2" eb="3">
      <t>ショウ</t>
    </rPh>
    <rPh sb="4" eb="6">
      <t>コウフ</t>
    </rPh>
    <rPh sb="6" eb="8">
      <t>ジンイン</t>
    </rPh>
    <phoneticPr fontId="3"/>
  </si>
  <si>
    <t>火災警報器
給付数</t>
    <rPh sb="0" eb="2">
      <t>カサイ</t>
    </rPh>
    <rPh sb="2" eb="5">
      <t>ケイホウキ</t>
    </rPh>
    <rPh sb="6" eb="8">
      <t>キュウフ</t>
    </rPh>
    <rPh sb="8" eb="9">
      <t>スウ</t>
    </rPh>
    <phoneticPr fontId="3"/>
  </si>
  <si>
    <t>自動消火器
給付数</t>
    <rPh sb="0" eb="2">
      <t>ジドウ</t>
    </rPh>
    <rPh sb="2" eb="5">
      <t>ショウカキ</t>
    </rPh>
    <rPh sb="6" eb="8">
      <t>キュウフ</t>
    </rPh>
    <rPh sb="8" eb="9">
      <t>スウ</t>
    </rPh>
    <phoneticPr fontId="3"/>
  </si>
  <si>
    <t>認知症高齢者
徘徊探索サービス利用者数</t>
    <rPh sb="0" eb="3">
      <t>ニンチショウ</t>
    </rPh>
    <rPh sb="3" eb="6">
      <t>コウレイシャ</t>
    </rPh>
    <rPh sb="7" eb="9">
      <t>ハイカイ</t>
    </rPh>
    <rPh sb="9" eb="11">
      <t>タンサク</t>
    </rPh>
    <rPh sb="15" eb="17">
      <t>リヨウ</t>
    </rPh>
    <rPh sb="17" eb="18">
      <t>シャ</t>
    </rPh>
    <rPh sb="18" eb="19">
      <t>スウ</t>
    </rPh>
    <phoneticPr fontId="3"/>
  </si>
  <si>
    <t>：</t>
    <phoneticPr fontId="3"/>
  </si>
  <si>
    <t>出張調髪
利用者数</t>
    <rPh sb="0" eb="2">
      <t>シュッチョウ</t>
    </rPh>
    <rPh sb="2" eb="4">
      <t>チョウハツ</t>
    </rPh>
    <rPh sb="5" eb="8">
      <t>リヨウシャ</t>
    </rPh>
    <rPh sb="8" eb="9">
      <t>スウ</t>
    </rPh>
    <phoneticPr fontId="3"/>
  </si>
  <si>
    <t>布団乾燥
消毒件数</t>
    <rPh sb="0" eb="2">
      <t>フトン</t>
    </rPh>
    <rPh sb="2" eb="4">
      <t>カンソウ</t>
    </rPh>
    <rPh sb="5" eb="7">
      <t>ショウドク</t>
    </rPh>
    <rPh sb="7" eb="9">
      <t>ケンスウ</t>
    </rPh>
    <phoneticPr fontId="3"/>
  </si>
  <si>
    <t>布団薬品
消毒件数</t>
    <rPh sb="0" eb="2">
      <t>フトン</t>
    </rPh>
    <rPh sb="2" eb="4">
      <t>ヤクヒン</t>
    </rPh>
    <rPh sb="5" eb="7">
      <t>ショウドク</t>
    </rPh>
    <rPh sb="7" eb="9">
      <t>ケンスウ</t>
    </rPh>
    <phoneticPr fontId="3"/>
  </si>
  <si>
    <t>布団水洗い
件数</t>
    <rPh sb="0" eb="2">
      <t>フトン</t>
    </rPh>
    <rPh sb="2" eb="4">
      <t>ミズアラ</t>
    </rPh>
    <rPh sb="6" eb="8">
      <t>ケンスウ</t>
    </rPh>
    <phoneticPr fontId="3"/>
  </si>
  <si>
    <t>寝具クリー
ニング件数</t>
    <rPh sb="0" eb="2">
      <t>シング</t>
    </rPh>
    <rPh sb="9" eb="11">
      <t>ケンスウ</t>
    </rPh>
    <phoneticPr fontId="3"/>
  </si>
  <si>
    <t>紙おむつ等
支給者数</t>
    <rPh sb="0" eb="1">
      <t>カミ</t>
    </rPh>
    <rPh sb="4" eb="5">
      <t>トウ</t>
    </rPh>
    <rPh sb="6" eb="8">
      <t>シキュウ</t>
    </rPh>
    <rPh sb="8" eb="9">
      <t>シャ</t>
    </rPh>
    <rPh sb="9" eb="10">
      <t>スウ</t>
    </rPh>
    <phoneticPr fontId="3"/>
  </si>
  <si>
    <t>おむつ代
支給者数</t>
    <rPh sb="3" eb="4">
      <t>ダイ</t>
    </rPh>
    <rPh sb="5" eb="7">
      <t>シキュウ</t>
    </rPh>
    <rPh sb="7" eb="8">
      <t>シャ</t>
    </rPh>
    <rPh sb="8" eb="9">
      <t>スウ</t>
    </rPh>
    <phoneticPr fontId="3"/>
  </si>
  <si>
    <t>：</t>
    <phoneticPr fontId="3"/>
  </si>
  <si>
    <t>千円</t>
    <rPh sb="0" eb="2">
      <t>センエン</t>
    </rPh>
    <phoneticPr fontId="3"/>
  </si>
  <si>
    <t>区民部国保年金課</t>
    <rPh sb="0" eb="2">
      <t>クミン</t>
    </rPh>
    <rPh sb="2" eb="3">
      <t>ブ</t>
    </rPh>
    <rPh sb="3" eb="5">
      <t>コクホ</t>
    </rPh>
    <rPh sb="5" eb="7">
      <t>ネンキン</t>
    </rPh>
    <rPh sb="7" eb="8">
      <t>カ</t>
    </rPh>
    <phoneticPr fontId="3"/>
  </si>
  <si>
    <t>：</t>
    <phoneticPr fontId="3"/>
  </si>
  <si>
    <t>数値は現年度分である。</t>
    <rPh sb="0" eb="2">
      <t>スウチ</t>
    </rPh>
    <rPh sb="3" eb="4">
      <t>ゲン</t>
    </rPh>
    <rPh sb="4" eb="6">
      <t>ネンド</t>
    </rPh>
    <rPh sb="6" eb="7">
      <t>ブン</t>
    </rPh>
    <phoneticPr fontId="3"/>
  </si>
  <si>
    <t>年度</t>
    <rPh sb="0" eb="1">
      <t>トシ</t>
    </rPh>
    <rPh sb="1" eb="2">
      <t>ド</t>
    </rPh>
    <phoneticPr fontId="3"/>
  </si>
  <si>
    <t>平成</t>
    <rPh sb="0" eb="1">
      <t>ヒラ</t>
    </rPh>
    <rPh sb="1" eb="2">
      <t>シゲル</t>
    </rPh>
    <phoneticPr fontId="3"/>
  </si>
  <si>
    <t>円</t>
    <rPh sb="0" eb="1">
      <t>エン</t>
    </rPh>
    <phoneticPr fontId="3"/>
  </si>
  <si>
    <t>収納額</t>
    <rPh sb="0" eb="1">
      <t>オサム</t>
    </rPh>
    <rPh sb="1" eb="2">
      <t>オサム</t>
    </rPh>
    <rPh sb="2" eb="3">
      <t>ガク</t>
    </rPh>
    <phoneticPr fontId="3"/>
  </si>
  <si>
    <t>調定額</t>
    <rPh sb="0" eb="1">
      <t>チョウ</t>
    </rPh>
    <rPh sb="1" eb="2">
      <t>テイ</t>
    </rPh>
    <rPh sb="2" eb="3">
      <t>ガク</t>
    </rPh>
    <phoneticPr fontId="3"/>
  </si>
  <si>
    <t>１人当りの保険料</t>
    <rPh sb="1" eb="2">
      <t>ヒト</t>
    </rPh>
    <rPh sb="2" eb="3">
      <t>アタ</t>
    </rPh>
    <rPh sb="5" eb="6">
      <t>ホ</t>
    </rPh>
    <rPh sb="6" eb="7">
      <t>ケン</t>
    </rPh>
    <rPh sb="7" eb="8">
      <t>リョウ</t>
    </rPh>
    <phoneticPr fontId="3"/>
  </si>
  <si>
    <t>１世帯当りの保険料</t>
    <rPh sb="1" eb="2">
      <t>ヨ</t>
    </rPh>
    <rPh sb="2" eb="3">
      <t>オビ</t>
    </rPh>
    <rPh sb="3" eb="4">
      <t>アタ</t>
    </rPh>
    <rPh sb="6" eb="7">
      <t>ホ</t>
    </rPh>
    <rPh sb="7" eb="8">
      <t>ケン</t>
    </rPh>
    <rPh sb="8" eb="9">
      <t>リョウ</t>
    </rPh>
    <phoneticPr fontId="3"/>
  </si>
  <si>
    <t>(ア)　基　礎　賦　課　額　分</t>
    <rPh sb="4" eb="5">
      <t>モト</t>
    </rPh>
    <rPh sb="6" eb="7">
      <t>イシズエ</t>
    </rPh>
    <rPh sb="8" eb="9">
      <t>ミツギ</t>
    </rPh>
    <rPh sb="10" eb="11">
      <t>カ</t>
    </rPh>
    <rPh sb="12" eb="13">
      <t>ガク</t>
    </rPh>
    <rPh sb="14" eb="15">
      <t>ブン</t>
    </rPh>
    <phoneticPr fontId="3"/>
  </si>
  <si>
    <t>(3)　１　世　帯　、　１　人　当　り　の　保　険　料</t>
    <rPh sb="6" eb="7">
      <t>ヨ</t>
    </rPh>
    <rPh sb="8" eb="9">
      <t>オビ</t>
    </rPh>
    <rPh sb="14" eb="15">
      <t>ジン</t>
    </rPh>
    <rPh sb="16" eb="17">
      <t>トウ</t>
    </rPh>
    <rPh sb="22" eb="23">
      <t>ホ</t>
    </rPh>
    <rPh sb="24" eb="25">
      <t>ケン</t>
    </rPh>
    <rPh sb="26" eb="27">
      <t>リョウ</t>
    </rPh>
    <phoneticPr fontId="3"/>
  </si>
  <si>
    <t>：</t>
    <phoneticPr fontId="3"/>
  </si>
  <si>
    <t>％</t>
    <phoneticPr fontId="3"/>
  </si>
  <si>
    <t>％</t>
    <phoneticPr fontId="3"/>
  </si>
  <si>
    <t>収納率</t>
    <rPh sb="0" eb="1">
      <t>オサム</t>
    </rPh>
    <rPh sb="1" eb="2">
      <t>オサム</t>
    </rPh>
    <rPh sb="2" eb="3">
      <t>リツ</t>
    </rPh>
    <phoneticPr fontId="3"/>
  </si>
  <si>
    <t>収納</t>
    <rPh sb="0" eb="1">
      <t>オサム</t>
    </rPh>
    <rPh sb="1" eb="2">
      <t>オサム</t>
    </rPh>
    <phoneticPr fontId="3"/>
  </si>
  <si>
    <t>調定</t>
    <rPh sb="0" eb="1">
      <t>チョウ</t>
    </rPh>
    <rPh sb="1" eb="2">
      <t>テイ</t>
    </rPh>
    <phoneticPr fontId="3"/>
  </si>
  <si>
    <t>金額</t>
    <rPh sb="0" eb="1">
      <t>キン</t>
    </rPh>
    <rPh sb="1" eb="2">
      <t>ガク</t>
    </rPh>
    <phoneticPr fontId="3"/>
  </si>
  <si>
    <t>件数</t>
    <rPh sb="0" eb="1">
      <t>ケン</t>
    </rPh>
    <rPh sb="1" eb="2">
      <t>カズ</t>
    </rPh>
    <phoneticPr fontId="3"/>
  </si>
  <si>
    <t>(ウ)　後　期　高　齢　者　支　援　金　分</t>
    <rPh sb="4" eb="5">
      <t>ゴ</t>
    </rPh>
    <rPh sb="6" eb="7">
      <t>キ</t>
    </rPh>
    <rPh sb="8" eb="9">
      <t>タカ</t>
    </rPh>
    <rPh sb="10" eb="11">
      <t>ヨワイ</t>
    </rPh>
    <rPh sb="12" eb="13">
      <t>シャ</t>
    </rPh>
    <rPh sb="14" eb="15">
      <t>ササ</t>
    </rPh>
    <rPh sb="16" eb="17">
      <t>エン</t>
    </rPh>
    <rPh sb="18" eb="19">
      <t>カネ</t>
    </rPh>
    <rPh sb="20" eb="21">
      <t>ブン</t>
    </rPh>
    <phoneticPr fontId="3"/>
  </si>
  <si>
    <t>(イ)　介　　護　　分</t>
    <rPh sb="4" eb="5">
      <t>スケ</t>
    </rPh>
    <rPh sb="7" eb="8">
      <t>マモル</t>
    </rPh>
    <rPh sb="10" eb="11">
      <t>ブン</t>
    </rPh>
    <phoneticPr fontId="3"/>
  </si>
  <si>
    <t>％</t>
    <phoneticPr fontId="3"/>
  </si>
  <si>
    <t>(2)　保　険　料　の　調　定　お　よ　び　収　納　状　況　</t>
    <rPh sb="4" eb="5">
      <t>タモツ</t>
    </rPh>
    <rPh sb="6" eb="7">
      <t>ケン</t>
    </rPh>
    <rPh sb="8" eb="9">
      <t>リョウ</t>
    </rPh>
    <rPh sb="12" eb="13">
      <t>チョウ</t>
    </rPh>
    <rPh sb="14" eb="15">
      <t>サダム</t>
    </rPh>
    <rPh sb="22" eb="23">
      <t>オサム</t>
    </rPh>
    <rPh sb="24" eb="25">
      <t>オサム</t>
    </rPh>
    <rPh sb="26" eb="27">
      <t>ジョウ</t>
    </rPh>
    <rPh sb="28" eb="29">
      <t>イワン</t>
    </rPh>
    <phoneticPr fontId="3"/>
  </si>
  <si>
    <t>｢世帯数｣および｢人口｣は住民基本台帳による数値である。</t>
    <rPh sb="1" eb="4">
      <t>セタイスウ</t>
    </rPh>
    <rPh sb="9" eb="11">
      <t>ジンコウ</t>
    </rPh>
    <rPh sb="13" eb="15">
      <t>ジュウミン</t>
    </rPh>
    <rPh sb="15" eb="17">
      <t>キホン</t>
    </rPh>
    <rPh sb="17" eb="19">
      <t>ダイチョウ</t>
    </rPh>
    <rPh sb="22" eb="24">
      <t>スウチ</t>
    </rPh>
    <phoneticPr fontId="3"/>
  </si>
  <si>
    <t>加入率</t>
    <rPh sb="0" eb="1">
      <t>カ</t>
    </rPh>
    <rPh sb="1" eb="2">
      <t>イリ</t>
    </rPh>
    <rPh sb="2" eb="3">
      <t>リツ</t>
    </rPh>
    <phoneticPr fontId="3"/>
  </si>
  <si>
    <t>加入世帯数</t>
    <rPh sb="0" eb="2">
      <t>カニュウ</t>
    </rPh>
    <rPh sb="2" eb="5">
      <t>セタイスウ</t>
    </rPh>
    <phoneticPr fontId="3"/>
  </si>
  <si>
    <t>年 間 平 均
被保険者数</t>
    <rPh sb="0" eb="1">
      <t>トシ</t>
    </rPh>
    <rPh sb="2" eb="3">
      <t>カン</t>
    </rPh>
    <rPh sb="4" eb="5">
      <t>ヒラ</t>
    </rPh>
    <rPh sb="6" eb="7">
      <t>タモツ</t>
    </rPh>
    <rPh sb="8" eb="12">
      <t>ヒホケンシャ</t>
    </rPh>
    <rPh sb="12" eb="13">
      <t>スウ</t>
    </rPh>
    <phoneticPr fontId="3"/>
  </si>
  <si>
    <t>被保険者数</t>
    <rPh sb="0" eb="4">
      <t>ヒホケンシャ</t>
    </rPh>
    <rPh sb="4" eb="5">
      <t>スウ</t>
    </rPh>
    <phoneticPr fontId="3"/>
  </si>
  <si>
    <t>国民健康保険加入状況</t>
    <phoneticPr fontId="3"/>
  </si>
  <si>
    <t>人口</t>
    <rPh sb="0" eb="1">
      <t>ヒト</t>
    </rPh>
    <rPh sb="1" eb="2">
      <t>クチ</t>
    </rPh>
    <phoneticPr fontId="3"/>
  </si>
  <si>
    <t>世帯数</t>
    <rPh sb="0" eb="1">
      <t>ヨ</t>
    </rPh>
    <rPh sb="1" eb="2">
      <t>オビ</t>
    </rPh>
    <rPh sb="2" eb="3">
      <t>カズ</t>
    </rPh>
    <phoneticPr fontId="3"/>
  </si>
  <si>
    <t>(各年度末現在)</t>
  </si>
  <si>
    <t>(1)　加　　入　　状　　況　　　</t>
    <rPh sb="4" eb="5">
      <t>カ</t>
    </rPh>
    <rPh sb="7" eb="8">
      <t>イ</t>
    </rPh>
    <rPh sb="10" eb="11">
      <t>ジョウ</t>
    </rPh>
    <rPh sb="13" eb="14">
      <t>イワン</t>
    </rPh>
    <phoneticPr fontId="3"/>
  </si>
  <si>
    <t>上記の数値は、厚生労働省提出資料の様式によるため、決算の数値とは異なる場合がある。(以下の表についても同じ)</t>
    <rPh sb="0" eb="2">
      <t>ジョウキ</t>
    </rPh>
    <rPh sb="3" eb="5">
      <t>スウチ</t>
    </rPh>
    <rPh sb="7" eb="9">
      <t>コウセイ</t>
    </rPh>
    <rPh sb="9" eb="12">
      <t>ロウドウショウ</t>
    </rPh>
    <rPh sb="12" eb="14">
      <t>テイシュツ</t>
    </rPh>
    <rPh sb="14" eb="16">
      <t>シリョウ</t>
    </rPh>
    <rPh sb="17" eb="19">
      <t>ヨウシキ</t>
    </rPh>
    <rPh sb="25" eb="27">
      <t>ケッサン</t>
    </rPh>
    <rPh sb="28" eb="30">
      <t>スウチ</t>
    </rPh>
    <rPh sb="32" eb="33">
      <t>コト</t>
    </rPh>
    <rPh sb="35" eb="37">
      <t>バアイ</t>
    </rPh>
    <rPh sb="42" eb="43">
      <t>イ</t>
    </rPh>
    <rPh sb="51" eb="52">
      <t>オナ</t>
    </rPh>
    <phoneticPr fontId="3"/>
  </si>
  <si>
    <t>老人保健法による医療給付に係る分を除く。(以下の表についても同じ)</t>
    <rPh sb="0" eb="2">
      <t>ロウジン</t>
    </rPh>
    <rPh sb="2" eb="5">
      <t>ホケンホウ</t>
    </rPh>
    <rPh sb="8" eb="10">
      <t>イリョウ</t>
    </rPh>
    <rPh sb="10" eb="12">
      <t>キュウフ</t>
    </rPh>
    <rPh sb="13" eb="14">
      <t>カカ</t>
    </rPh>
    <rPh sb="15" eb="16">
      <t>ブン</t>
    </rPh>
    <rPh sb="17" eb="18">
      <t>ノゾ</t>
    </rPh>
    <rPh sb="21" eb="23">
      <t>イカ</t>
    </rPh>
    <rPh sb="24" eb="25">
      <t>ヒョウ</t>
    </rPh>
    <rPh sb="30" eb="31">
      <t>オナ</t>
    </rPh>
    <phoneticPr fontId="3"/>
  </si>
  <si>
    <t>受診件数</t>
    <rPh sb="0" eb="2">
      <t>ジュシン</t>
    </rPh>
    <rPh sb="2" eb="4">
      <t>ケンスウ</t>
    </rPh>
    <phoneticPr fontId="3"/>
  </si>
  <si>
    <t>(6)　療　養　諸　費　費　用　負　担　区　分</t>
    <rPh sb="4" eb="5">
      <t>リョウ</t>
    </rPh>
    <rPh sb="6" eb="7">
      <t>オサム</t>
    </rPh>
    <rPh sb="8" eb="9">
      <t>モロ</t>
    </rPh>
    <rPh sb="10" eb="11">
      <t>ヒ</t>
    </rPh>
    <rPh sb="12" eb="13">
      <t>ヒ</t>
    </rPh>
    <rPh sb="14" eb="15">
      <t>ヨウ</t>
    </rPh>
    <rPh sb="16" eb="17">
      <t>フ</t>
    </rPh>
    <rPh sb="18" eb="19">
      <t>タン</t>
    </rPh>
    <rPh sb="20" eb="21">
      <t>ク</t>
    </rPh>
    <rPh sb="22" eb="23">
      <t>ブン</t>
    </rPh>
    <phoneticPr fontId="3"/>
  </si>
  <si>
    <t>その他</t>
    <rPh sb="2" eb="3">
      <t>タ</t>
    </rPh>
    <phoneticPr fontId="3"/>
  </si>
  <si>
    <t>後期高齢者加入</t>
    <rPh sb="0" eb="2">
      <t>コウキ</t>
    </rPh>
    <rPh sb="2" eb="5">
      <t>コウレイシャ</t>
    </rPh>
    <rPh sb="5" eb="7">
      <t>カニュウ</t>
    </rPh>
    <phoneticPr fontId="3"/>
  </si>
  <si>
    <t>死亡</t>
    <rPh sb="0" eb="1">
      <t>シ</t>
    </rPh>
    <rPh sb="1" eb="2">
      <t>ボウ</t>
    </rPh>
    <phoneticPr fontId="3"/>
  </si>
  <si>
    <t>生活保護開始</t>
    <rPh sb="0" eb="2">
      <t>セイカツ</t>
    </rPh>
    <rPh sb="2" eb="4">
      <t>ホゴ</t>
    </rPh>
    <rPh sb="4" eb="6">
      <t>カイシ</t>
    </rPh>
    <phoneticPr fontId="3"/>
  </si>
  <si>
    <t>社会保険加入</t>
    <rPh sb="0" eb="2">
      <t>シャカイ</t>
    </rPh>
    <rPh sb="2" eb="4">
      <t>ホケン</t>
    </rPh>
    <rPh sb="4" eb="6">
      <t>カニュウ</t>
    </rPh>
    <phoneticPr fontId="3"/>
  </si>
  <si>
    <t>転出</t>
    <rPh sb="0" eb="1">
      <t>テン</t>
    </rPh>
    <rPh sb="1" eb="2">
      <t>デ</t>
    </rPh>
    <phoneticPr fontId="3"/>
  </si>
  <si>
    <t>総数</t>
    <rPh sb="0" eb="1">
      <t>フサ</t>
    </rPh>
    <rPh sb="1" eb="2">
      <t>カズ</t>
    </rPh>
    <phoneticPr fontId="3"/>
  </si>
  <si>
    <t>(5)　資　格　喪　失　事　由　別　被　保　険　者　数</t>
    <rPh sb="4" eb="5">
      <t>シ</t>
    </rPh>
    <rPh sb="6" eb="7">
      <t>カク</t>
    </rPh>
    <rPh sb="8" eb="9">
      <t>モ</t>
    </rPh>
    <rPh sb="10" eb="11">
      <t>シツ</t>
    </rPh>
    <rPh sb="12" eb="13">
      <t>コト</t>
    </rPh>
    <rPh sb="14" eb="15">
      <t>ヨシ</t>
    </rPh>
    <rPh sb="16" eb="17">
      <t>ベツ</t>
    </rPh>
    <rPh sb="18" eb="19">
      <t>ヒ</t>
    </rPh>
    <rPh sb="20" eb="21">
      <t>ホ</t>
    </rPh>
    <rPh sb="22" eb="23">
      <t>ケン</t>
    </rPh>
    <rPh sb="24" eb="25">
      <t>シャ</t>
    </rPh>
    <rPh sb="26" eb="27">
      <t>スウ</t>
    </rPh>
    <phoneticPr fontId="3"/>
  </si>
  <si>
    <t>後期高齢者離脱</t>
    <rPh sb="0" eb="2">
      <t>コウキ</t>
    </rPh>
    <rPh sb="2" eb="5">
      <t>コウレイシャ</t>
    </rPh>
    <rPh sb="5" eb="7">
      <t>リダツ</t>
    </rPh>
    <phoneticPr fontId="3"/>
  </si>
  <si>
    <t>出生</t>
    <rPh sb="0" eb="1">
      <t>デ</t>
    </rPh>
    <rPh sb="1" eb="2">
      <t>ショウ</t>
    </rPh>
    <phoneticPr fontId="3"/>
  </si>
  <si>
    <t>生活保護廃止</t>
    <rPh sb="0" eb="2">
      <t>セイカツ</t>
    </rPh>
    <rPh sb="2" eb="4">
      <t>ホゴ</t>
    </rPh>
    <rPh sb="4" eb="6">
      <t>ハイシ</t>
    </rPh>
    <phoneticPr fontId="3"/>
  </si>
  <si>
    <t>社会保険離脱</t>
    <rPh sb="0" eb="2">
      <t>シャカイ</t>
    </rPh>
    <rPh sb="2" eb="4">
      <t>ホケン</t>
    </rPh>
    <rPh sb="4" eb="6">
      <t>リダツ</t>
    </rPh>
    <phoneticPr fontId="3"/>
  </si>
  <si>
    <t>転入</t>
    <rPh sb="0" eb="1">
      <t>テン</t>
    </rPh>
    <rPh sb="1" eb="2">
      <t>イリ</t>
    </rPh>
    <phoneticPr fontId="3"/>
  </si>
  <si>
    <t>(4)　資　格　取　得　事　由　別　被　保　険　者　数</t>
    <rPh sb="4" eb="5">
      <t>シ</t>
    </rPh>
    <rPh sb="6" eb="7">
      <t>カク</t>
    </rPh>
    <rPh sb="8" eb="9">
      <t>トリ</t>
    </rPh>
    <rPh sb="10" eb="11">
      <t>トク</t>
    </rPh>
    <rPh sb="12" eb="13">
      <t>コト</t>
    </rPh>
    <rPh sb="14" eb="15">
      <t>ヨシ</t>
    </rPh>
    <rPh sb="16" eb="17">
      <t>ベツ</t>
    </rPh>
    <rPh sb="18" eb="19">
      <t>ヒ</t>
    </rPh>
    <rPh sb="20" eb="21">
      <t>ホ</t>
    </rPh>
    <rPh sb="22" eb="23">
      <t>ケン</t>
    </rPh>
    <rPh sb="24" eb="25">
      <t>シャ</t>
    </rPh>
    <rPh sb="26" eb="27">
      <t>スウ</t>
    </rPh>
    <phoneticPr fontId="3"/>
  </si>
  <si>
    <t>一世帯当りの保険料はシステム変更に伴い、20年度から算出できない。</t>
    <rPh sb="0" eb="3">
      <t>イッセタイ</t>
    </rPh>
    <rPh sb="3" eb="4">
      <t>アタ</t>
    </rPh>
    <rPh sb="6" eb="8">
      <t>ホケン</t>
    </rPh>
    <rPh sb="8" eb="9">
      <t>リョウ</t>
    </rPh>
    <rPh sb="14" eb="16">
      <t>ヘンコウ</t>
    </rPh>
    <rPh sb="17" eb="18">
      <t>トモナ</t>
    </rPh>
    <rPh sb="22" eb="24">
      <t>ネンド</t>
    </rPh>
    <rPh sb="26" eb="28">
      <t>サンシュツ</t>
    </rPh>
    <phoneticPr fontId="3"/>
  </si>
  <si>
    <t>１人当りの保険料</t>
    <rPh sb="1" eb="2">
      <t>ニン</t>
    </rPh>
    <rPh sb="2" eb="3">
      <t>アタ</t>
    </rPh>
    <rPh sb="5" eb="6">
      <t>ホ</t>
    </rPh>
    <rPh sb="6" eb="7">
      <t>ケン</t>
    </rPh>
    <rPh sb="7" eb="8">
      <t>リョウ</t>
    </rPh>
    <phoneticPr fontId="3"/>
  </si>
  <si>
    <t>(2) 平成24年版より、厚生労働省提出資料の様式および数値を使用している。</t>
    <rPh sb="4" eb="6">
      <t>ヘイセイ</t>
    </rPh>
    <rPh sb="8" eb="10">
      <t>ネンバン</t>
    </rPh>
    <rPh sb="9" eb="10">
      <t>バン</t>
    </rPh>
    <rPh sb="13" eb="15">
      <t>コウセイ</t>
    </rPh>
    <rPh sb="15" eb="18">
      <t>ロウドウショウ</t>
    </rPh>
    <rPh sb="18" eb="20">
      <t>テイシュツ</t>
    </rPh>
    <rPh sb="20" eb="22">
      <t>シリョウ</t>
    </rPh>
    <rPh sb="23" eb="25">
      <t>ヨウシキ</t>
    </rPh>
    <rPh sb="28" eb="30">
      <t>スウチ</t>
    </rPh>
    <rPh sb="31" eb="33">
      <t>シヨウ</t>
    </rPh>
    <phoneticPr fontId="3"/>
  </si>
  <si>
    <t>(1) ｢療養費｣とは被保険者証を使えなかった理由があるとき、その費用の一部を払い戻した場合をいう。</t>
    <rPh sb="5" eb="7">
      <t>リョウヨウ</t>
    </rPh>
    <rPh sb="7" eb="8">
      <t>ヒ</t>
    </rPh>
    <rPh sb="11" eb="15">
      <t>ヒホケンシャ</t>
    </rPh>
    <rPh sb="15" eb="16">
      <t>アカシ</t>
    </rPh>
    <rPh sb="17" eb="18">
      <t>ツカ</t>
    </rPh>
    <rPh sb="23" eb="25">
      <t>リユウ</t>
    </rPh>
    <rPh sb="33" eb="35">
      <t>ヒヨウ</t>
    </rPh>
    <rPh sb="36" eb="38">
      <t>イチブ</t>
    </rPh>
    <rPh sb="39" eb="40">
      <t>ハラ</t>
    </rPh>
    <rPh sb="41" eb="42">
      <t>モド</t>
    </rPh>
    <rPh sb="44" eb="46">
      <t>バアイ</t>
    </rPh>
    <phoneticPr fontId="3"/>
  </si>
  <si>
    <t>年 度</t>
    <rPh sb="0" eb="1">
      <t>トシ</t>
    </rPh>
    <rPh sb="2" eb="3">
      <t>ド</t>
    </rPh>
    <phoneticPr fontId="3"/>
  </si>
  <si>
    <t>平 成</t>
    <rPh sb="0" eb="1">
      <t>ヒラ</t>
    </rPh>
    <rPh sb="2" eb="3">
      <t>シゲル</t>
    </rPh>
    <phoneticPr fontId="3"/>
  </si>
  <si>
    <t>治療装具</t>
    <phoneticPr fontId="3"/>
  </si>
  <si>
    <t>針・灸</t>
    <phoneticPr fontId="3"/>
  </si>
  <si>
    <t>マッサージ</t>
    <phoneticPr fontId="3"/>
  </si>
  <si>
    <t>柔道整復</t>
    <phoneticPr fontId="3"/>
  </si>
  <si>
    <t>移送費</t>
    <phoneticPr fontId="3"/>
  </si>
  <si>
    <t>食事療養・生活療養費</t>
    <rPh sb="0" eb="2">
      <t>ショクジ</t>
    </rPh>
    <rPh sb="2" eb="4">
      <t>リョウヨウ</t>
    </rPh>
    <rPh sb="5" eb="7">
      <t>セイカツ</t>
    </rPh>
    <rPh sb="7" eb="10">
      <t>リョウヨウヒ</t>
    </rPh>
    <phoneticPr fontId="3"/>
  </si>
  <si>
    <t>診療費</t>
    <rPh sb="0" eb="3">
      <t>シンリョウヒ</t>
    </rPh>
    <phoneticPr fontId="3"/>
  </si>
  <si>
    <t>総数</t>
    <phoneticPr fontId="3"/>
  </si>
  <si>
    <t>(8)　療　養　費　等　支　給　決　定　状　況</t>
    <rPh sb="4" eb="5">
      <t>リョウ</t>
    </rPh>
    <rPh sb="6" eb="7">
      <t>オサム</t>
    </rPh>
    <rPh sb="8" eb="9">
      <t>ヒ</t>
    </rPh>
    <rPh sb="10" eb="11">
      <t>ナド</t>
    </rPh>
    <rPh sb="12" eb="13">
      <t>ササ</t>
    </rPh>
    <rPh sb="14" eb="15">
      <t>キュウ</t>
    </rPh>
    <rPh sb="16" eb="17">
      <t>ケツ</t>
    </rPh>
    <rPh sb="18" eb="19">
      <t>サダム</t>
    </rPh>
    <rPh sb="20" eb="21">
      <t>ジョウ</t>
    </rPh>
    <rPh sb="22" eb="23">
      <t>キョウ</t>
    </rPh>
    <phoneticPr fontId="3"/>
  </si>
  <si>
    <t>｢療養の給付｣とは被保険者証を提出して療養取扱機関にかかった場合をいう。</t>
    <rPh sb="1" eb="3">
      <t>リョウヨウ</t>
    </rPh>
    <rPh sb="4" eb="6">
      <t>キュウフ</t>
    </rPh>
    <rPh sb="9" eb="13">
      <t>ヒホケンシャ</t>
    </rPh>
    <rPh sb="13" eb="14">
      <t>アカシ</t>
    </rPh>
    <rPh sb="15" eb="17">
      <t>テイシュツ</t>
    </rPh>
    <rPh sb="19" eb="21">
      <t>リョウヨウ</t>
    </rPh>
    <rPh sb="21" eb="23">
      <t>トリアツカイ</t>
    </rPh>
    <rPh sb="23" eb="25">
      <t>キカン</t>
    </rPh>
    <rPh sb="30" eb="32">
      <t>バアイ</t>
    </rPh>
    <phoneticPr fontId="3"/>
  </si>
  <si>
    <t>訪問看護療養費</t>
    <phoneticPr fontId="3"/>
  </si>
  <si>
    <t>薬剤</t>
    <phoneticPr fontId="3"/>
  </si>
  <si>
    <t>歯科</t>
    <phoneticPr fontId="3"/>
  </si>
  <si>
    <t>入院外</t>
    <phoneticPr fontId="3"/>
  </si>
  <si>
    <t>入院</t>
    <phoneticPr fontId="3"/>
  </si>
  <si>
    <t>診療費</t>
    <phoneticPr fontId="3"/>
  </si>
  <si>
    <t>(7)　療　養　の　給　付　等　費　用　額　の　状　況</t>
    <rPh sb="4" eb="5">
      <t>リョウ</t>
    </rPh>
    <rPh sb="6" eb="7">
      <t>オサム</t>
    </rPh>
    <rPh sb="10" eb="11">
      <t>キュウ</t>
    </rPh>
    <rPh sb="12" eb="13">
      <t>ヅケ</t>
    </rPh>
    <rPh sb="14" eb="15">
      <t>ナド</t>
    </rPh>
    <rPh sb="16" eb="17">
      <t>ヒ</t>
    </rPh>
    <rPh sb="18" eb="19">
      <t>ヨウ</t>
    </rPh>
    <rPh sb="20" eb="21">
      <t>ガク</t>
    </rPh>
    <rPh sb="24" eb="25">
      <t>ジョウ</t>
    </rPh>
    <rPh sb="26" eb="27">
      <t>キョウ</t>
    </rPh>
    <phoneticPr fontId="3"/>
  </si>
  <si>
    <t>福祉部介護保険課</t>
    <rPh sb="0" eb="2">
      <t>フクシ</t>
    </rPh>
    <rPh sb="2" eb="3">
      <t>ブ</t>
    </rPh>
    <rPh sb="3" eb="5">
      <t>カイゴ</t>
    </rPh>
    <rPh sb="5" eb="7">
      <t>ホケン</t>
    </rPh>
    <rPh sb="7" eb="8">
      <t>カ</t>
    </rPh>
    <phoneticPr fontId="3"/>
  </si>
  <si>
    <t>収納額は収入済額から還付未済額を引いた額である。</t>
    <rPh sb="0" eb="2">
      <t>シュウノウ</t>
    </rPh>
    <rPh sb="2" eb="3">
      <t>ガク</t>
    </rPh>
    <rPh sb="4" eb="6">
      <t>シュウニュウ</t>
    </rPh>
    <rPh sb="6" eb="7">
      <t>ズ</t>
    </rPh>
    <rPh sb="7" eb="8">
      <t>ガク</t>
    </rPh>
    <rPh sb="10" eb="12">
      <t>カンプ</t>
    </rPh>
    <rPh sb="12" eb="14">
      <t>ミサイ</t>
    </rPh>
    <rPh sb="14" eb="15">
      <t>ガク</t>
    </rPh>
    <rPh sb="16" eb="17">
      <t>ヒ</t>
    </rPh>
    <rPh sb="19" eb="20">
      <t>ガク</t>
    </rPh>
    <phoneticPr fontId="3"/>
  </si>
  <si>
    <t>調定件数は、年度中に調定した人の延べ人数である。</t>
    <rPh sb="0" eb="2">
      <t>チョウテイ</t>
    </rPh>
    <rPh sb="2" eb="4">
      <t>ケンスウ</t>
    </rPh>
    <rPh sb="6" eb="9">
      <t>ネンドチュウ</t>
    </rPh>
    <rPh sb="10" eb="12">
      <t>チョウテイ</t>
    </rPh>
    <rPh sb="14" eb="15">
      <t>ヒト</t>
    </rPh>
    <rPh sb="16" eb="17">
      <t>ノ</t>
    </rPh>
    <rPh sb="18" eb="20">
      <t>ニンズウ</t>
    </rPh>
    <phoneticPr fontId="3"/>
  </si>
  <si>
    <t>普通徴収</t>
    <rPh sb="0" eb="2">
      <t>フツウ</t>
    </rPh>
    <rPh sb="2" eb="4">
      <t>チョウシュウ</t>
    </rPh>
    <phoneticPr fontId="3"/>
  </si>
  <si>
    <t>特別徴収</t>
    <rPh sb="0" eb="2">
      <t>トクベツ</t>
    </rPh>
    <rPh sb="2" eb="4">
      <t>チョウシュウ</t>
    </rPh>
    <phoneticPr fontId="3"/>
  </si>
  <si>
    <t>計</t>
    <rPh sb="0" eb="1">
      <t>ケイ</t>
    </rPh>
    <phoneticPr fontId="3"/>
  </si>
  <si>
    <t>収納率</t>
    <rPh sb="0" eb="2">
      <t>シュウノウ</t>
    </rPh>
    <rPh sb="2" eb="3">
      <t>リツ</t>
    </rPh>
    <phoneticPr fontId="3"/>
  </si>
  <si>
    <t>収納額</t>
    <rPh sb="0" eb="2">
      <t>シュウノウ</t>
    </rPh>
    <rPh sb="2" eb="3">
      <t>ガク</t>
    </rPh>
    <phoneticPr fontId="3"/>
  </si>
  <si>
    <t>調定額</t>
    <rPh sb="0" eb="3">
      <t>チョウテイガク</t>
    </rPh>
    <phoneticPr fontId="3"/>
  </si>
  <si>
    <t>調定件数</t>
    <rPh sb="0" eb="2">
      <t>チョウテイ</t>
    </rPh>
    <rPh sb="2" eb="4">
      <t>ケンスウ</t>
    </rPh>
    <phoneticPr fontId="3"/>
  </si>
  <si>
    <t>(3)　保　険　料　の　調　定　お　よ　び　収　納　状　況</t>
    <rPh sb="4" eb="5">
      <t>タモツ</t>
    </rPh>
    <rPh sb="6" eb="7">
      <t>ケン</t>
    </rPh>
    <rPh sb="8" eb="9">
      <t>リョウ</t>
    </rPh>
    <rPh sb="12" eb="13">
      <t>チョウ</t>
    </rPh>
    <rPh sb="14" eb="15">
      <t>サダム</t>
    </rPh>
    <rPh sb="22" eb="23">
      <t>オサム</t>
    </rPh>
    <rPh sb="24" eb="25">
      <t>オサム</t>
    </rPh>
    <rPh sb="26" eb="27">
      <t>ジョウ</t>
    </rPh>
    <rPh sb="28" eb="29">
      <t>キョウ</t>
    </rPh>
    <phoneticPr fontId="3"/>
  </si>
  <si>
    <t>総数には年度途中資格喪失者を含む。</t>
    <rPh sb="0" eb="2">
      <t>ソウスウ</t>
    </rPh>
    <rPh sb="4" eb="6">
      <t>ネンド</t>
    </rPh>
    <rPh sb="6" eb="8">
      <t>トチュウ</t>
    </rPh>
    <rPh sb="8" eb="10">
      <t>シカク</t>
    </rPh>
    <rPh sb="10" eb="13">
      <t>ソウシツシャ</t>
    </rPh>
    <rPh sb="14" eb="15">
      <t>フク</t>
    </rPh>
    <phoneticPr fontId="3"/>
  </si>
  <si>
    <t>第12段階</t>
    <rPh sb="0" eb="1">
      <t>ダイ</t>
    </rPh>
    <rPh sb="3" eb="5">
      <t>ダンカイ</t>
    </rPh>
    <phoneticPr fontId="3"/>
  </si>
  <si>
    <t>第11段階</t>
    <rPh sb="0" eb="1">
      <t>ダイ</t>
    </rPh>
    <rPh sb="3" eb="5">
      <t>ダンカイ</t>
    </rPh>
    <phoneticPr fontId="3"/>
  </si>
  <si>
    <t>第10段階</t>
    <rPh sb="0" eb="1">
      <t>ダイ</t>
    </rPh>
    <rPh sb="3" eb="5">
      <t>ダンカイ</t>
    </rPh>
    <phoneticPr fontId="3"/>
  </si>
  <si>
    <t>第９段階</t>
    <rPh sb="0" eb="1">
      <t>ダイ</t>
    </rPh>
    <rPh sb="2" eb="4">
      <t>ダンカイ</t>
    </rPh>
    <phoneticPr fontId="3"/>
  </si>
  <si>
    <t>第８段階</t>
    <rPh sb="0" eb="1">
      <t>ダイ</t>
    </rPh>
    <rPh sb="2" eb="4">
      <t>ダンカイ</t>
    </rPh>
    <phoneticPr fontId="3"/>
  </si>
  <si>
    <t>第７段階</t>
    <rPh sb="0" eb="1">
      <t>ダイ</t>
    </rPh>
    <rPh sb="2" eb="4">
      <t>ダンカイ</t>
    </rPh>
    <phoneticPr fontId="3"/>
  </si>
  <si>
    <t>第６段階</t>
    <rPh sb="0" eb="1">
      <t>ダイ</t>
    </rPh>
    <rPh sb="2" eb="4">
      <t>ダンカイ</t>
    </rPh>
    <phoneticPr fontId="3"/>
  </si>
  <si>
    <t>第５段階</t>
    <rPh sb="0" eb="1">
      <t>ダイ</t>
    </rPh>
    <rPh sb="2" eb="4">
      <t>ダンカイ</t>
    </rPh>
    <phoneticPr fontId="3"/>
  </si>
  <si>
    <t>第４段階</t>
    <rPh sb="0" eb="1">
      <t>ダイ</t>
    </rPh>
    <rPh sb="2" eb="4">
      <t>ダンカイ</t>
    </rPh>
    <phoneticPr fontId="3"/>
  </si>
  <si>
    <t>特４段階</t>
    <rPh sb="0" eb="1">
      <t>トク</t>
    </rPh>
    <rPh sb="2" eb="4">
      <t>ダンカイ</t>
    </rPh>
    <phoneticPr fontId="3"/>
  </si>
  <si>
    <t>第３段階</t>
    <rPh sb="0" eb="1">
      <t>ダイ</t>
    </rPh>
    <rPh sb="2" eb="4">
      <t>ダンカイ</t>
    </rPh>
    <phoneticPr fontId="3"/>
  </si>
  <si>
    <t>第２段階</t>
    <rPh sb="0" eb="1">
      <t>ダイ</t>
    </rPh>
    <rPh sb="2" eb="4">
      <t>ダンカイ</t>
    </rPh>
    <phoneticPr fontId="3"/>
  </si>
  <si>
    <t>第１段階</t>
    <rPh sb="0" eb="1">
      <t>ダイ</t>
    </rPh>
    <rPh sb="2" eb="4">
      <t>ダンカイ</t>
    </rPh>
    <phoneticPr fontId="3"/>
  </si>
  <si>
    <t>(2)　保　険　料　段　階　別　第　１　号　被　保　険　者　数</t>
    <rPh sb="4" eb="5">
      <t>タモツ</t>
    </rPh>
    <rPh sb="6" eb="7">
      <t>ケン</t>
    </rPh>
    <rPh sb="8" eb="9">
      <t>リョウ</t>
    </rPh>
    <rPh sb="10" eb="11">
      <t>ダン</t>
    </rPh>
    <rPh sb="12" eb="13">
      <t>カイ</t>
    </rPh>
    <rPh sb="14" eb="15">
      <t>ベツ</t>
    </rPh>
    <rPh sb="16" eb="17">
      <t>ダイ</t>
    </rPh>
    <rPh sb="20" eb="21">
      <t>ゴウ</t>
    </rPh>
    <rPh sb="22" eb="23">
      <t>ヒ</t>
    </rPh>
    <rPh sb="24" eb="25">
      <t>タモツ</t>
    </rPh>
    <rPh sb="26" eb="27">
      <t>ケン</t>
    </rPh>
    <rPh sb="28" eb="29">
      <t>シャ</t>
    </rPh>
    <rPh sb="30" eb="31">
      <t>スウ</t>
    </rPh>
    <phoneticPr fontId="3"/>
  </si>
  <si>
    <t>「人口」は外国人登録数を含む。</t>
    <rPh sb="1" eb="3">
      <t>ジンコウ</t>
    </rPh>
    <rPh sb="5" eb="7">
      <t>ガイコク</t>
    </rPh>
    <rPh sb="7" eb="8">
      <t>ジン</t>
    </rPh>
    <rPh sb="8" eb="11">
      <t>トウロクスウ</t>
    </rPh>
    <rPh sb="12" eb="13">
      <t>フク</t>
    </rPh>
    <phoneticPr fontId="3"/>
  </si>
  <si>
    <t>被保険者割合</t>
    <rPh sb="0" eb="4">
      <t>ヒホケンシャ</t>
    </rPh>
    <rPh sb="4" eb="6">
      <t>ワリアイ</t>
    </rPh>
    <phoneticPr fontId="3"/>
  </si>
  <si>
    <t>75歳以上</t>
    <rPh sb="2" eb="3">
      <t>サイ</t>
    </rPh>
    <rPh sb="3" eb="5">
      <t>イジョウ</t>
    </rPh>
    <phoneticPr fontId="3"/>
  </si>
  <si>
    <t>65歳～74歳</t>
    <rPh sb="2" eb="3">
      <t>サイ</t>
    </rPh>
    <rPh sb="6" eb="7">
      <t>サイ</t>
    </rPh>
    <phoneticPr fontId="3"/>
  </si>
  <si>
    <t>第１号被保険者</t>
    <rPh sb="0" eb="1">
      <t>ダイ</t>
    </rPh>
    <rPh sb="2" eb="3">
      <t>ゴウ</t>
    </rPh>
    <rPh sb="3" eb="7">
      <t>ヒホケンシャ</t>
    </rPh>
    <phoneticPr fontId="3"/>
  </si>
  <si>
    <t>人口</t>
    <rPh sb="0" eb="2">
      <t>ジンコウ</t>
    </rPh>
    <phoneticPr fontId="3"/>
  </si>
  <si>
    <t>介護療養型
医療施設</t>
    <rPh sb="0" eb="2">
      <t>カイゴ</t>
    </rPh>
    <rPh sb="2" eb="5">
      <t>リョウヨウガタ</t>
    </rPh>
    <rPh sb="6" eb="8">
      <t>イリョウ</t>
    </rPh>
    <rPh sb="8" eb="10">
      <t>シセツ</t>
    </rPh>
    <phoneticPr fontId="3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</si>
  <si>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3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</si>
  <si>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3"/>
  </si>
  <si>
    <t>住宅改修費</t>
    <rPh sb="0" eb="2">
      <t>ジュウタク</t>
    </rPh>
    <rPh sb="2" eb="4">
      <t>カイシュウ</t>
    </rPh>
    <rPh sb="4" eb="5">
      <t>ヒ</t>
    </rPh>
    <phoneticPr fontId="3"/>
  </si>
  <si>
    <t>福祉用具購入費</t>
    <rPh sb="0" eb="2">
      <t>フクシ</t>
    </rPh>
    <rPh sb="2" eb="4">
      <t>ヨウグ</t>
    </rPh>
    <rPh sb="4" eb="7">
      <t>コウニュウヒ</t>
    </rPh>
    <phoneticPr fontId="3"/>
  </si>
  <si>
    <t>施設サービス費</t>
    <rPh sb="0" eb="2">
      <t>シセツ</t>
    </rPh>
    <rPh sb="6" eb="7">
      <t>ヒ</t>
    </rPh>
    <phoneticPr fontId="3"/>
  </si>
  <si>
    <t>居宅・介護予防サービス費</t>
    <rPh sb="0" eb="2">
      <t>キョタク</t>
    </rPh>
    <rPh sb="3" eb="5">
      <t>カイゴ</t>
    </rPh>
    <rPh sb="5" eb="7">
      <t>ヨボウ</t>
    </rPh>
    <rPh sb="11" eb="12">
      <t>ヒ</t>
    </rPh>
    <phoneticPr fontId="3"/>
  </si>
  <si>
    <t>居宅介護支援・
介護予防支援</t>
    <rPh sb="0" eb="2">
      <t>キョタク</t>
    </rPh>
    <rPh sb="2" eb="4">
      <t>カイゴ</t>
    </rPh>
    <rPh sb="4" eb="6">
      <t>シエン</t>
    </rPh>
    <rPh sb="8" eb="10">
      <t>カイゴ</t>
    </rPh>
    <rPh sb="10" eb="12">
      <t>ヨボウ</t>
    </rPh>
    <rPh sb="12" eb="14">
      <t>シエン</t>
    </rPh>
    <phoneticPr fontId="3"/>
  </si>
  <si>
    <t>特定施設入居者
生　活　介　護</t>
    <rPh sb="0" eb="2">
      <t>トクテイ</t>
    </rPh>
    <rPh sb="2" eb="4">
      <t>シセツ</t>
    </rPh>
    <rPh sb="4" eb="7">
      <t>ニュウキョシャ</t>
    </rPh>
    <rPh sb="8" eb="9">
      <t>ナマ</t>
    </rPh>
    <rPh sb="10" eb="11">
      <t>カツ</t>
    </rPh>
    <rPh sb="12" eb="13">
      <t>カイ</t>
    </rPh>
    <rPh sb="14" eb="15">
      <t>マモル</t>
    </rPh>
    <phoneticPr fontId="3"/>
  </si>
  <si>
    <t>居宅療養
管理指導</t>
    <rPh sb="0" eb="2">
      <t>キョタク</t>
    </rPh>
    <rPh sb="2" eb="4">
      <t>リョウヨウ</t>
    </rPh>
    <rPh sb="5" eb="7">
      <t>カンリ</t>
    </rPh>
    <rPh sb="7" eb="9">
      <t>シドウ</t>
    </rPh>
    <phoneticPr fontId="3"/>
  </si>
  <si>
    <t>短期入所生活・
療　養　介　護</t>
    <rPh sb="0" eb="2">
      <t>タンキ</t>
    </rPh>
    <rPh sb="2" eb="4">
      <t>ニュウショ</t>
    </rPh>
    <rPh sb="4" eb="6">
      <t>セイカツ</t>
    </rPh>
    <rPh sb="8" eb="9">
      <t>イヤス</t>
    </rPh>
    <rPh sb="10" eb="11">
      <t>マモル</t>
    </rPh>
    <rPh sb="12" eb="13">
      <t>カイ</t>
    </rPh>
    <rPh sb="14" eb="15">
      <t>マモル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</si>
  <si>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</si>
  <si>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通　　　所
ﾘﾊﾋﾞﾘﾃｰｼｮﾝ</t>
    <phoneticPr fontId="3"/>
  </si>
  <si>
    <t>通所介護</t>
    <rPh sb="0" eb="4">
      <t>ツウショカイゴ</t>
    </rPh>
    <phoneticPr fontId="3"/>
  </si>
  <si>
    <t>訪　　　問
ﾘﾊﾋﾞﾘﾃｰｼｮﾝ</t>
    <phoneticPr fontId="3"/>
  </si>
  <si>
    <t>訪問看護</t>
    <rPh sb="0" eb="2">
      <t>ホウモン</t>
    </rPh>
    <rPh sb="2" eb="4">
      <t>カンゴ</t>
    </rPh>
    <phoneticPr fontId="3"/>
  </si>
  <si>
    <t>訪問入浴介護</t>
    <rPh sb="0" eb="2">
      <t>ホウモン</t>
    </rPh>
    <rPh sb="2" eb="4">
      <t>ニュウヨク</t>
    </rPh>
    <rPh sb="4" eb="6">
      <t>カイゴ</t>
    </rPh>
    <phoneticPr fontId="3"/>
  </si>
  <si>
    <t>訪問介護</t>
    <rPh sb="0" eb="2">
      <t>ホウモン</t>
    </rPh>
    <rPh sb="2" eb="4">
      <t>カイゴ</t>
    </rPh>
    <phoneticPr fontId="3"/>
  </si>
  <si>
    <t>(7)　サ　ー　ビ　ス　区　分　別　経　費</t>
    <rPh sb="12" eb="13">
      <t>ク</t>
    </rPh>
    <rPh sb="14" eb="15">
      <t>ブン</t>
    </rPh>
    <rPh sb="16" eb="17">
      <t>ベツ</t>
    </rPh>
    <rPh sb="18" eb="19">
      <t>ヘ</t>
    </rPh>
    <rPh sb="20" eb="21">
      <t>ヒ</t>
    </rPh>
    <phoneticPr fontId="3"/>
  </si>
  <si>
    <t>サービス受給者数は、各月の利用人数を合計したものである。</t>
    <rPh sb="4" eb="7">
      <t>ジュキュウシャ</t>
    </rPh>
    <rPh sb="7" eb="8">
      <t>スウ</t>
    </rPh>
    <rPh sb="10" eb="12">
      <t>カクツキ</t>
    </rPh>
    <rPh sb="13" eb="15">
      <t>リヨウ</t>
    </rPh>
    <rPh sb="15" eb="17">
      <t>ニンズウ</t>
    </rPh>
    <rPh sb="18" eb="20">
      <t>ゴウケイ</t>
    </rPh>
    <phoneticPr fontId="3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</si>
  <si>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</si>
  <si>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</si>
  <si>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</si>
  <si>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地域密着型サービス</t>
    <rPh sb="0" eb="2">
      <t>チイキ</t>
    </rPh>
    <rPh sb="2" eb="4">
      <t>ミッチャク</t>
    </rPh>
    <rPh sb="4" eb="5">
      <t>ガタ</t>
    </rPh>
    <phoneticPr fontId="3"/>
  </si>
  <si>
    <t>施設サービス</t>
    <rPh sb="0" eb="2">
      <t>シセツ</t>
    </rPh>
    <phoneticPr fontId="3"/>
  </si>
  <si>
    <t>居宅・介護予防
サ　ー　ビ　ス</t>
    <rPh sb="0" eb="2">
      <t>キョタク</t>
    </rPh>
    <rPh sb="3" eb="5">
      <t>カイゴ</t>
    </rPh>
    <rPh sb="5" eb="7">
      <t>ヨボウ</t>
    </rPh>
    <phoneticPr fontId="3"/>
  </si>
  <si>
    <t>(6)　サ　ー　ビ　ス　受　給　者　数</t>
    <rPh sb="12" eb="13">
      <t>ウケ</t>
    </rPh>
    <rPh sb="14" eb="15">
      <t>キュウ</t>
    </rPh>
    <rPh sb="16" eb="17">
      <t>シャ</t>
    </rPh>
    <rPh sb="18" eb="19">
      <t>スウ</t>
    </rPh>
    <phoneticPr fontId="3"/>
  </si>
  <si>
    <t>第２号</t>
    <rPh sb="0" eb="1">
      <t>ダイ</t>
    </rPh>
    <rPh sb="2" eb="3">
      <t>ゴウ</t>
    </rPh>
    <phoneticPr fontId="3"/>
  </si>
  <si>
    <t>第１号</t>
    <rPh sb="0" eb="1">
      <t>ダイ</t>
    </rPh>
    <rPh sb="2" eb="3">
      <t>ゴウ</t>
    </rPh>
    <phoneticPr fontId="3"/>
  </si>
  <si>
    <t>要介護５</t>
    <rPh sb="0" eb="1">
      <t>ヨウ</t>
    </rPh>
    <rPh sb="1" eb="3">
      <t>カイゴ</t>
    </rPh>
    <phoneticPr fontId="3"/>
  </si>
  <si>
    <t>要介護４</t>
    <rPh sb="0" eb="1">
      <t>ヨウ</t>
    </rPh>
    <rPh sb="1" eb="3">
      <t>カイゴ</t>
    </rPh>
    <phoneticPr fontId="3"/>
  </si>
  <si>
    <t>要介護３</t>
    <rPh sb="0" eb="1">
      <t>ヨウ</t>
    </rPh>
    <rPh sb="1" eb="3">
      <t>カイゴ</t>
    </rPh>
    <phoneticPr fontId="3"/>
  </si>
  <si>
    <t>要介護２</t>
    <rPh sb="0" eb="1">
      <t>ヨウ</t>
    </rPh>
    <rPh sb="1" eb="3">
      <t>カイゴ</t>
    </rPh>
    <phoneticPr fontId="3"/>
  </si>
  <si>
    <t>要介護１</t>
    <rPh sb="0" eb="1">
      <t>ヨウ</t>
    </rPh>
    <rPh sb="1" eb="3">
      <t>カイゴ</t>
    </rPh>
    <phoneticPr fontId="3"/>
  </si>
  <si>
    <t>要支援２</t>
    <rPh sb="0" eb="1">
      <t>ヨウ</t>
    </rPh>
    <rPh sb="1" eb="3">
      <t>シエン</t>
    </rPh>
    <phoneticPr fontId="3"/>
  </si>
  <si>
    <t>審査判定数</t>
    <rPh sb="0" eb="2">
      <t>シンサ</t>
    </rPh>
    <rPh sb="2" eb="4">
      <t>ハンテイ</t>
    </rPh>
    <rPh sb="4" eb="5">
      <t>スウ</t>
    </rPh>
    <phoneticPr fontId="3"/>
  </si>
  <si>
    <t>審査会開催数</t>
    <rPh sb="0" eb="3">
      <t>シンサカイ</t>
    </rPh>
    <rPh sb="3" eb="5">
      <t>カイサイ</t>
    </rPh>
    <rPh sb="5" eb="6">
      <t>スウ</t>
    </rPh>
    <phoneticPr fontId="3"/>
  </si>
  <si>
    <t>主治医意見書作成
件　　　　　　数</t>
    <rPh sb="0" eb="3">
      <t>シュジイ</t>
    </rPh>
    <rPh sb="3" eb="6">
      <t>イケンショ</t>
    </rPh>
    <rPh sb="6" eb="8">
      <t>サクセイ</t>
    </rPh>
    <rPh sb="9" eb="10">
      <t>ケン</t>
    </rPh>
    <rPh sb="16" eb="17">
      <t>スウ</t>
    </rPh>
    <phoneticPr fontId="3"/>
  </si>
  <si>
    <t>認　定　調　査
件　　　　　数</t>
    <rPh sb="0" eb="1">
      <t>シノブ</t>
    </rPh>
    <rPh sb="2" eb="3">
      <t>サダム</t>
    </rPh>
    <rPh sb="4" eb="5">
      <t>チョウ</t>
    </rPh>
    <rPh sb="6" eb="7">
      <t>サ</t>
    </rPh>
    <rPh sb="8" eb="9">
      <t>ケン</t>
    </rPh>
    <rPh sb="14" eb="15">
      <t>スウ</t>
    </rPh>
    <phoneticPr fontId="3"/>
  </si>
  <si>
    <t>申 請 書 受 理
件　　　　　数</t>
    <rPh sb="0" eb="1">
      <t>サル</t>
    </rPh>
    <rPh sb="2" eb="3">
      <t>ショウ</t>
    </rPh>
    <rPh sb="4" eb="5">
      <t>ショ</t>
    </rPh>
    <rPh sb="6" eb="7">
      <t>ウケ</t>
    </rPh>
    <rPh sb="8" eb="9">
      <t>リ</t>
    </rPh>
    <rPh sb="10" eb="11">
      <t>ケン</t>
    </rPh>
    <rPh sb="16" eb="17">
      <t>スウ</t>
    </rPh>
    <phoneticPr fontId="3"/>
  </si>
  <si>
    <t>(4)　要　介　護　認　定　申　請　お　よ　び　審　査　件　数</t>
    <rPh sb="4" eb="5">
      <t>ヨウ</t>
    </rPh>
    <rPh sb="6" eb="7">
      <t>カイ</t>
    </rPh>
    <rPh sb="8" eb="9">
      <t>マモル</t>
    </rPh>
    <rPh sb="10" eb="11">
      <t>シノブ</t>
    </rPh>
    <rPh sb="12" eb="13">
      <t>サダム</t>
    </rPh>
    <rPh sb="14" eb="15">
      <t>サル</t>
    </rPh>
    <rPh sb="16" eb="17">
      <t>ショウ</t>
    </rPh>
    <rPh sb="24" eb="25">
      <t>シン</t>
    </rPh>
    <rPh sb="26" eb="27">
      <t>サ</t>
    </rPh>
    <rPh sb="28" eb="29">
      <t>ケン</t>
    </rPh>
    <rPh sb="30" eb="31">
      <t>スウ</t>
    </rPh>
    <phoneticPr fontId="3"/>
  </si>
  <si>
    <t>遺族基礎</t>
    <phoneticPr fontId="3"/>
  </si>
  <si>
    <t>障害基礎</t>
    <phoneticPr fontId="3"/>
  </si>
  <si>
    <t>老齢福祉</t>
    <phoneticPr fontId="3"/>
  </si>
  <si>
    <t>遺族基礎</t>
    <phoneticPr fontId="3"/>
  </si>
  <si>
    <t>障害基礎</t>
    <phoneticPr fontId="3"/>
  </si>
  <si>
    <t>老齢福祉</t>
    <phoneticPr fontId="3"/>
  </si>
  <si>
    <t>全部支給停止</t>
    <phoneticPr fontId="3"/>
  </si>
  <si>
    <t>一部支給停止</t>
    <phoneticPr fontId="3"/>
  </si>
  <si>
    <t>遺族基礎</t>
    <phoneticPr fontId="3"/>
  </si>
  <si>
    <t>障害基礎</t>
    <phoneticPr fontId="3"/>
  </si>
  <si>
    <t>老齢福祉</t>
    <phoneticPr fontId="3"/>
  </si>
  <si>
    <t>全部支給</t>
    <phoneticPr fontId="3"/>
  </si>
  <si>
    <t>総数</t>
    <phoneticPr fontId="3"/>
  </si>
  <si>
    <t>(各年度末現在)</t>
    <rPh sb="1" eb="4">
      <t>カクネンド</t>
    </rPh>
    <rPh sb="4" eb="5">
      <t>マツ</t>
    </rPh>
    <rPh sb="5" eb="7">
      <t>ゲンザイ</t>
    </rPh>
    <phoneticPr fontId="3"/>
  </si>
  <si>
    <t>(3)　福　祉　年　金　受　給　権　者　状　況</t>
    <rPh sb="4" eb="5">
      <t>フク</t>
    </rPh>
    <rPh sb="6" eb="7">
      <t>シ</t>
    </rPh>
    <rPh sb="8" eb="9">
      <t>トシ</t>
    </rPh>
    <rPh sb="10" eb="11">
      <t>キン</t>
    </rPh>
    <rPh sb="12" eb="13">
      <t>ウケ</t>
    </rPh>
    <rPh sb="14" eb="15">
      <t>キュウ</t>
    </rPh>
    <rPh sb="16" eb="17">
      <t>ケン</t>
    </rPh>
    <rPh sb="18" eb="19">
      <t>シャ</t>
    </rPh>
    <rPh sb="20" eb="21">
      <t>ジョウ</t>
    </rPh>
    <rPh sb="22" eb="23">
      <t>キョウ</t>
    </rPh>
    <phoneticPr fontId="3"/>
  </si>
  <si>
    <t>死亡一時金</t>
    <rPh sb="0" eb="2">
      <t>シボウ</t>
    </rPh>
    <rPh sb="2" eb="5">
      <t>イチジキン</t>
    </rPh>
    <phoneticPr fontId="3"/>
  </si>
  <si>
    <t>寡婦</t>
    <rPh sb="0" eb="2">
      <t>カフ</t>
    </rPh>
    <phoneticPr fontId="3"/>
  </si>
  <si>
    <t>遺族基礎</t>
    <rPh sb="0" eb="2">
      <t>イゾク</t>
    </rPh>
    <rPh sb="2" eb="4">
      <t>キソ</t>
    </rPh>
    <phoneticPr fontId="3"/>
  </si>
  <si>
    <t>障害基礎</t>
    <rPh sb="0" eb="2">
      <t>ショウガイ</t>
    </rPh>
    <rPh sb="2" eb="4">
      <t>キソ</t>
    </rPh>
    <phoneticPr fontId="3"/>
  </si>
  <si>
    <t>障害</t>
    <phoneticPr fontId="3"/>
  </si>
  <si>
    <t>老齢基礎</t>
    <phoneticPr fontId="3"/>
  </si>
  <si>
    <t>通算老齢</t>
    <phoneticPr fontId="3"/>
  </si>
  <si>
    <t>老齢</t>
    <phoneticPr fontId="3"/>
  </si>
  <si>
    <t>(2)　拠　出　年　金　受　給　権　者　状　況</t>
    <rPh sb="4" eb="5">
      <t>キョ</t>
    </rPh>
    <rPh sb="6" eb="7">
      <t>デ</t>
    </rPh>
    <rPh sb="8" eb="9">
      <t>トシ</t>
    </rPh>
    <rPh sb="10" eb="11">
      <t>キン</t>
    </rPh>
    <rPh sb="12" eb="13">
      <t>ウケ</t>
    </rPh>
    <rPh sb="14" eb="15">
      <t>キュウ</t>
    </rPh>
    <rPh sb="16" eb="17">
      <t>ケン</t>
    </rPh>
    <rPh sb="18" eb="19">
      <t>シャ</t>
    </rPh>
    <rPh sb="20" eb="21">
      <t>ジョウ</t>
    </rPh>
    <rPh sb="22" eb="23">
      <t>キョウ</t>
    </rPh>
    <phoneticPr fontId="3"/>
  </si>
  <si>
    <t>３号</t>
    <rPh sb="1" eb="2">
      <t>ゴウ</t>
    </rPh>
    <phoneticPr fontId="3"/>
  </si>
  <si>
    <t>１号(任意)</t>
    <rPh sb="1" eb="2">
      <t>ゴウ</t>
    </rPh>
    <rPh sb="3" eb="4">
      <t>ニン</t>
    </rPh>
    <rPh sb="4" eb="5">
      <t>イ</t>
    </rPh>
    <phoneticPr fontId="3"/>
  </si>
  <si>
    <t>１号(強制)</t>
    <rPh sb="1" eb="2">
      <t>ゴウ</t>
    </rPh>
    <rPh sb="3" eb="4">
      <t>ツヨシ</t>
    </rPh>
    <rPh sb="4" eb="5">
      <t>セイ</t>
    </rPh>
    <phoneticPr fontId="3"/>
  </si>
  <si>
    <t>被保険者数</t>
    <phoneticPr fontId="3"/>
  </si>
  <si>
    <t>(1)　拠　出　年　金　加　入　者　数</t>
    <rPh sb="4" eb="5">
      <t>キョ</t>
    </rPh>
    <rPh sb="6" eb="7">
      <t>デ</t>
    </rPh>
    <rPh sb="8" eb="9">
      <t>トシ</t>
    </rPh>
    <rPh sb="10" eb="11">
      <t>キン</t>
    </rPh>
    <rPh sb="12" eb="13">
      <t>カ</t>
    </rPh>
    <rPh sb="14" eb="15">
      <t>イリ</t>
    </rPh>
    <rPh sb="16" eb="17">
      <t>シャ</t>
    </rPh>
    <rPh sb="18" eb="19">
      <t>スウ</t>
    </rPh>
    <phoneticPr fontId="3"/>
  </si>
  <si>
    <t>特定入所者介護
サ ー ビ ス 費</t>
    <rPh sb="0" eb="2">
      <t>トクテイ</t>
    </rPh>
    <rPh sb="2" eb="5">
      <t>ニュウショシャ</t>
    </rPh>
    <rPh sb="5" eb="7">
      <t>カイゴ</t>
    </rPh>
    <rPh sb="16" eb="17">
      <t>ヒ</t>
    </rPh>
    <phoneticPr fontId="3"/>
  </si>
  <si>
    <t>審査支払手数料</t>
    <rPh sb="0" eb="2">
      <t>シンサ</t>
    </rPh>
    <rPh sb="2" eb="4">
      <t>シハライ</t>
    </rPh>
    <rPh sb="4" eb="7">
      <t>テスウリョウ</t>
    </rPh>
    <phoneticPr fontId="3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</si>
  <si>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1">
      <t>ニュウキョ</t>
    </rPh>
    <rPh sb="11" eb="12">
      <t>シャ</t>
    </rPh>
    <rPh sb="12" eb="14">
      <t>セイカツ</t>
    </rPh>
    <rPh sb="14" eb="16">
      <t>カイゴ</t>
    </rPh>
    <phoneticPr fontId="11"/>
  </si>
  <si>
    <t>地域密着型サービス費</t>
    <rPh sb="0" eb="2">
      <t>チイキ</t>
    </rPh>
    <rPh sb="2" eb="5">
      <t>ミッチャクガタ</t>
    </rPh>
    <rPh sb="9" eb="10">
      <t>ヒ</t>
    </rPh>
    <phoneticPr fontId="3"/>
  </si>
  <si>
    <t>認知症対応型
共同生活介護</t>
    <rPh sb="0" eb="3">
      <t>ニンチショウ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3"/>
  </si>
  <si>
    <t>小規模多機能型
居　宅　介　護</t>
    <rPh sb="0" eb="3">
      <t>ショウキボ</t>
    </rPh>
    <rPh sb="3" eb="7">
      <t>タキノウガタ</t>
    </rPh>
    <rPh sb="8" eb="9">
      <t>イ</t>
    </rPh>
    <rPh sb="10" eb="11">
      <t>タク</t>
    </rPh>
    <rPh sb="12" eb="13">
      <t>カイ</t>
    </rPh>
    <rPh sb="14" eb="15">
      <t>マモル</t>
    </rPh>
    <phoneticPr fontId="3"/>
  </si>
  <si>
    <t>認知症対応型
通 所 介 護</t>
    <rPh sb="0" eb="3">
      <t>ニンチショウ</t>
    </rPh>
    <rPh sb="3" eb="6">
      <t>タイオウガタ</t>
    </rPh>
    <rPh sb="7" eb="8">
      <t>ツウ</t>
    </rPh>
    <rPh sb="9" eb="10">
      <t>ショ</t>
    </rPh>
    <rPh sb="11" eb="12">
      <t>カイ</t>
    </rPh>
    <rPh sb="13" eb="14">
      <t>マモル</t>
    </rPh>
    <phoneticPr fontId="3"/>
  </si>
  <si>
    <t>夜 間 対 応 型
訪　問　介　護</t>
    <rPh sb="0" eb="1">
      <t>ヨル</t>
    </rPh>
    <rPh sb="2" eb="3">
      <t>カン</t>
    </rPh>
    <rPh sb="4" eb="5">
      <t>タイ</t>
    </rPh>
    <rPh sb="6" eb="7">
      <t>オウ</t>
    </rPh>
    <rPh sb="8" eb="9">
      <t>カタ</t>
    </rPh>
    <rPh sb="10" eb="11">
      <t>ホウ</t>
    </rPh>
    <rPh sb="12" eb="13">
      <t>トイ</t>
    </rPh>
    <rPh sb="14" eb="15">
      <t>カイ</t>
    </rPh>
    <rPh sb="16" eb="17">
      <t>マモル</t>
    </rPh>
    <phoneticPr fontId="3"/>
  </si>
  <si>
    <t>食事費用</t>
    <rPh sb="0" eb="2">
      <t>ショクジ</t>
    </rPh>
    <rPh sb="2" eb="4">
      <t>ヒヨウ</t>
    </rPh>
    <phoneticPr fontId="3"/>
  </si>
  <si>
    <t>老人保健制度からの移行に伴い、平成20年度は11か月分の数値である。</t>
    <rPh sb="0" eb="2">
      <t>ロウジン</t>
    </rPh>
    <rPh sb="2" eb="4">
      <t>ホケン</t>
    </rPh>
    <rPh sb="4" eb="6">
      <t>セイド</t>
    </rPh>
    <rPh sb="9" eb="11">
      <t>イコウ</t>
    </rPh>
    <rPh sb="12" eb="13">
      <t>トモナ</t>
    </rPh>
    <rPh sb="15" eb="17">
      <t>ヘイセイ</t>
    </rPh>
    <rPh sb="19" eb="21">
      <t>ネンド</t>
    </rPh>
    <rPh sb="25" eb="26">
      <t>ゲツ</t>
    </rPh>
    <rPh sb="26" eb="27">
      <t>ブン</t>
    </rPh>
    <rPh sb="28" eb="30">
      <t>スウチ</t>
    </rPh>
    <phoneticPr fontId="3"/>
  </si>
  <si>
    <t>｢食事療養費｣の｢件数｣は｢医科入院｣、｢歯科｣の再掲である。</t>
    <rPh sb="1" eb="3">
      <t>ショクジ</t>
    </rPh>
    <rPh sb="3" eb="5">
      <t>リョウヨウ</t>
    </rPh>
    <rPh sb="5" eb="6">
      <t>ヒ</t>
    </rPh>
    <rPh sb="9" eb="11">
      <t>ケンスウ</t>
    </rPh>
    <rPh sb="14" eb="16">
      <t>イカ</t>
    </rPh>
    <rPh sb="16" eb="18">
      <t>ニュウイン</t>
    </rPh>
    <rPh sb="21" eb="23">
      <t>シカ</t>
    </rPh>
    <rPh sb="25" eb="27">
      <t>サイケイ</t>
    </rPh>
    <phoneticPr fontId="3"/>
  </si>
  <si>
    <t>医療費総額(｢総数｣の｢費用額｣)は、戻入差引前の数値である。</t>
    <rPh sb="0" eb="3">
      <t>イリョウヒ</t>
    </rPh>
    <rPh sb="3" eb="5">
      <t>ソウガク</t>
    </rPh>
    <rPh sb="7" eb="9">
      <t>ソウスウ</t>
    </rPh>
    <rPh sb="12" eb="14">
      <t>ヒヨウ</t>
    </rPh>
    <rPh sb="14" eb="15">
      <t>ガク</t>
    </rPh>
    <rPh sb="19" eb="21">
      <t>レイニュウ</t>
    </rPh>
    <rPh sb="21" eb="22">
      <t>サ</t>
    </rPh>
    <rPh sb="22" eb="23">
      <t>ビ</t>
    </rPh>
    <rPh sb="23" eb="24">
      <t>マエ</t>
    </rPh>
    <rPh sb="25" eb="27">
      <t>スウチ</t>
    </rPh>
    <phoneticPr fontId="3"/>
  </si>
  <si>
    <t>｢件数｣および「費用額」は、東京都後期高齢者医療広域連合の給付状況から、練馬区の被保険者分を抽出したものである。</t>
    <rPh sb="8" eb="10">
      <t>ヒヨウ</t>
    </rPh>
    <rPh sb="10" eb="11">
      <t>ガク</t>
    </rPh>
    <rPh sb="14" eb="16">
      <t>トウキョウ</t>
    </rPh>
    <rPh sb="16" eb="17">
      <t>ト</t>
    </rPh>
    <rPh sb="17" eb="19">
      <t>コウキ</t>
    </rPh>
    <rPh sb="19" eb="22">
      <t>コウレイシャ</t>
    </rPh>
    <rPh sb="22" eb="24">
      <t>イリョウ</t>
    </rPh>
    <rPh sb="24" eb="26">
      <t>コウイキ</t>
    </rPh>
    <rPh sb="26" eb="28">
      <t>レンゴウ</t>
    </rPh>
    <rPh sb="29" eb="31">
      <t>キュウフ</t>
    </rPh>
    <rPh sb="31" eb="33">
      <t>ジョウキョウ</t>
    </rPh>
    <rPh sb="36" eb="39">
      <t>ネリマク</t>
    </rPh>
    <rPh sb="40" eb="44">
      <t>ヒホケンシャ</t>
    </rPh>
    <rPh sb="44" eb="45">
      <t>ブン</t>
    </rPh>
    <rPh sb="46" eb="48">
      <t>チュウシュツ</t>
    </rPh>
    <phoneticPr fontId="3"/>
  </si>
  <si>
    <t>費用額</t>
    <rPh sb="0" eb="1">
      <t>ヒ</t>
    </rPh>
    <rPh sb="1" eb="2">
      <t>ヨウ</t>
    </rPh>
    <rPh sb="2" eb="3">
      <t>ガク</t>
    </rPh>
    <phoneticPr fontId="3"/>
  </si>
  <si>
    <t>医療費支給費</t>
    <rPh sb="0" eb="1">
      <t>イ</t>
    </rPh>
    <rPh sb="1" eb="2">
      <t>リョウ</t>
    </rPh>
    <rPh sb="2" eb="3">
      <t>ヒ</t>
    </rPh>
    <rPh sb="3" eb="4">
      <t>ササ</t>
    </rPh>
    <rPh sb="4" eb="5">
      <t>キュウ</t>
    </rPh>
    <rPh sb="5" eb="6">
      <t>ヒ</t>
    </rPh>
    <phoneticPr fontId="3"/>
  </si>
  <si>
    <t>訪問看護療養費</t>
    <rPh sb="0" eb="1">
      <t>オトズ</t>
    </rPh>
    <rPh sb="1" eb="2">
      <t>トイ</t>
    </rPh>
    <rPh sb="2" eb="3">
      <t>ミ</t>
    </rPh>
    <rPh sb="3" eb="4">
      <t>ユズル</t>
    </rPh>
    <rPh sb="4" eb="5">
      <t>リョウ</t>
    </rPh>
    <rPh sb="5" eb="6">
      <t>オサム</t>
    </rPh>
    <rPh sb="6" eb="7">
      <t>ヒ</t>
    </rPh>
    <phoneticPr fontId="3"/>
  </si>
  <si>
    <t>歯科(歯科入院含む)</t>
    <phoneticPr fontId="3"/>
  </si>
  <si>
    <t>食事療養費</t>
    <rPh sb="0" eb="1">
      <t>ショク</t>
    </rPh>
    <rPh sb="1" eb="2">
      <t>コト</t>
    </rPh>
    <rPh sb="2" eb="3">
      <t>リョウ</t>
    </rPh>
    <rPh sb="3" eb="4">
      <t>オサム</t>
    </rPh>
    <rPh sb="4" eb="5">
      <t>ヒ</t>
    </rPh>
    <phoneticPr fontId="3"/>
  </si>
  <si>
    <t>調剤</t>
    <rPh sb="0" eb="1">
      <t>チョウ</t>
    </rPh>
    <rPh sb="1" eb="2">
      <t>ザイ</t>
    </rPh>
    <phoneticPr fontId="3"/>
  </si>
  <si>
    <t>費用額</t>
    <phoneticPr fontId="3"/>
  </si>
  <si>
    <t>件数</t>
    <phoneticPr fontId="3"/>
  </si>
  <si>
    <t>医科入院外</t>
    <phoneticPr fontId="3"/>
  </si>
  <si>
    <t>医科入院</t>
    <phoneticPr fontId="3"/>
  </si>
  <si>
    <t>対象者数</t>
    <phoneticPr fontId="3"/>
  </si>
  <si>
    <t>(5)　要　介　護　認　定　者　数</t>
    <rPh sb="4" eb="5">
      <t>ヨウ</t>
    </rPh>
    <rPh sb="6" eb="7">
      <t>カイ</t>
    </rPh>
    <rPh sb="8" eb="9">
      <t>マモル</t>
    </rPh>
    <rPh sb="10" eb="11">
      <t>シノブ</t>
    </rPh>
    <rPh sb="12" eb="13">
      <t>テイ</t>
    </rPh>
    <rPh sb="14" eb="15">
      <t>モノ</t>
    </rPh>
    <rPh sb="16" eb="17">
      <t>スウ</t>
    </rPh>
    <phoneticPr fontId="3"/>
  </si>
  <si>
    <t>(20年度)</t>
    <rPh sb="3" eb="5">
      <t>ネンド</t>
    </rPh>
    <phoneticPr fontId="3"/>
  </si>
  <si>
    <t>(24年度)</t>
    <rPh sb="3" eb="5">
      <t>ネンド</t>
    </rPh>
    <phoneticPr fontId="3"/>
  </si>
  <si>
    <t>特３段階</t>
    <rPh sb="0" eb="1">
      <t>トク</t>
    </rPh>
    <rPh sb="2" eb="4">
      <t>ダンカイ</t>
    </rPh>
    <phoneticPr fontId="3"/>
  </si>
  <si>
    <t>(1)　第　１　号　被　保　険　者　数</t>
    <rPh sb="4" eb="5">
      <t>ダイ</t>
    </rPh>
    <rPh sb="8" eb="9">
      <t>ゴウ</t>
    </rPh>
    <rPh sb="10" eb="11">
      <t>ヒ</t>
    </rPh>
    <rPh sb="12" eb="13">
      <t>タモツ</t>
    </rPh>
    <rPh sb="14" eb="15">
      <t>ケン</t>
    </rPh>
    <rPh sb="16" eb="17">
      <t>モノ</t>
    </rPh>
    <rPh sb="18" eb="19">
      <t>スウ</t>
    </rPh>
    <phoneticPr fontId="3"/>
  </si>
  <si>
    <t>(1)　応　急　小　口　資　金</t>
    <rPh sb="4" eb="5">
      <t>オウ</t>
    </rPh>
    <rPh sb="6" eb="7">
      <t>キュウ</t>
    </rPh>
    <rPh sb="8" eb="9">
      <t>ショウ</t>
    </rPh>
    <rPh sb="10" eb="11">
      <t>クチ</t>
    </rPh>
    <rPh sb="12" eb="13">
      <t>シ</t>
    </rPh>
    <rPh sb="14" eb="15">
      <t>キン</t>
    </rPh>
    <phoneticPr fontId="3"/>
  </si>
  <si>
    <t>一般貸付</t>
    <rPh sb="0" eb="2">
      <t>イッパン</t>
    </rPh>
    <rPh sb="2" eb="4">
      <t>カシツケ</t>
    </rPh>
    <phoneticPr fontId="3"/>
  </si>
  <si>
    <t>特別貸付</t>
    <rPh sb="0" eb="2">
      <t>トクベツ</t>
    </rPh>
    <rPh sb="2" eb="4">
      <t>カシツケ</t>
    </rPh>
    <phoneticPr fontId="3"/>
  </si>
  <si>
    <t>件数</t>
    <rPh sb="0" eb="2">
      <t>ケンスウ</t>
    </rPh>
    <phoneticPr fontId="3"/>
  </si>
  <si>
    <t>金額</t>
    <rPh sb="0" eb="2">
      <t>キンガク</t>
    </rPh>
    <phoneticPr fontId="3"/>
  </si>
  <si>
    <t>：</t>
    <phoneticPr fontId="3"/>
  </si>
  <si>
    <t>(2)　母　子　福　祉　資　金</t>
    <rPh sb="4" eb="5">
      <t>ハハ</t>
    </rPh>
    <rPh sb="6" eb="7">
      <t>コ</t>
    </rPh>
    <rPh sb="8" eb="9">
      <t>フク</t>
    </rPh>
    <rPh sb="10" eb="11">
      <t>シ</t>
    </rPh>
    <rPh sb="12" eb="13">
      <t>シ</t>
    </rPh>
    <rPh sb="14" eb="15">
      <t>キン</t>
    </rPh>
    <phoneticPr fontId="3"/>
  </si>
  <si>
    <t>貸付金の種類別件数</t>
    <rPh sb="0" eb="2">
      <t>カシツケ</t>
    </rPh>
    <rPh sb="2" eb="3">
      <t>キン</t>
    </rPh>
    <rPh sb="4" eb="6">
      <t>シュルイ</t>
    </rPh>
    <rPh sb="6" eb="7">
      <t>ベツ</t>
    </rPh>
    <rPh sb="7" eb="9">
      <t>ケンスウ</t>
    </rPh>
    <phoneticPr fontId="3"/>
  </si>
  <si>
    <t>修学</t>
    <rPh sb="0" eb="2">
      <t>シュウガク</t>
    </rPh>
    <phoneticPr fontId="3"/>
  </si>
  <si>
    <t>就学支度</t>
    <rPh sb="0" eb="2">
      <t>シュウガク</t>
    </rPh>
    <rPh sb="2" eb="4">
      <t>シタク</t>
    </rPh>
    <phoneticPr fontId="3"/>
  </si>
  <si>
    <t>技能習得</t>
    <rPh sb="0" eb="2">
      <t>ギノウ</t>
    </rPh>
    <rPh sb="2" eb="4">
      <t>シュウトク</t>
    </rPh>
    <phoneticPr fontId="3"/>
  </si>
  <si>
    <t>生活</t>
    <rPh sb="0" eb="2">
      <t>セイカツ</t>
    </rPh>
    <phoneticPr fontId="3"/>
  </si>
  <si>
    <t>転宅</t>
    <rPh sb="0" eb="2">
      <t>テンタク</t>
    </rPh>
    <phoneticPr fontId="3"/>
  </si>
  <si>
    <t>(3)　女　性　福　祉　資　金</t>
    <rPh sb="4" eb="5">
      <t>オンナ</t>
    </rPh>
    <rPh sb="6" eb="7">
      <t>セイ</t>
    </rPh>
    <rPh sb="8" eb="9">
      <t>フク</t>
    </rPh>
    <rPh sb="10" eb="11">
      <t>シ</t>
    </rPh>
    <rPh sb="12" eb="13">
      <t>シ</t>
    </rPh>
    <rPh sb="14" eb="15">
      <t>キン</t>
    </rPh>
    <phoneticPr fontId="3"/>
  </si>
  <si>
    <t>(4)　高等学校進学準備資金・高齢者および障害者入院資金</t>
    <rPh sb="4" eb="6">
      <t>コウトウ</t>
    </rPh>
    <rPh sb="6" eb="8">
      <t>ガッコウ</t>
    </rPh>
    <rPh sb="8" eb="10">
      <t>シンガク</t>
    </rPh>
    <rPh sb="10" eb="12">
      <t>ジュンビ</t>
    </rPh>
    <rPh sb="12" eb="14">
      <t>シキン</t>
    </rPh>
    <rPh sb="15" eb="18">
      <t>コウレイシャ</t>
    </rPh>
    <rPh sb="21" eb="24">
      <t>ショウガイシャ</t>
    </rPh>
    <rPh sb="24" eb="26">
      <t>ニュウイン</t>
    </rPh>
    <rPh sb="26" eb="28">
      <t>シキン</t>
    </rPh>
    <phoneticPr fontId="3"/>
  </si>
  <si>
    <t>高等学校進学準備資金</t>
    <rPh sb="0" eb="2">
      <t>コウトウ</t>
    </rPh>
    <rPh sb="2" eb="4">
      <t>ガッコウ</t>
    </rPh>
    <rPh sb="4" eb="6">
      <t>シンガク</t>
    </rPh>
    <rPh sb="6" eb="8">
      <t>ジュンビ</t>
    </rPh>
    <rPh sb="8" eb="10">
      <t>シキン</t>
    </rPh>
    <phoneticPr fontId="3"/>
  </si>
  <si>
    <t>高齢者および障害者入院資金</t>
    <rPh sb="0" eb="3">
      <t>コウレイシャ</t>
    </rPh>
    <rPh sb="6" eb="9">
      <t>ショウガイシャ</t>
    </rPh>
    <rPh sb="9" eb="11">
      <t>ニュウイン</t>
    </rPh>
    <rPh sb="11" eb="13">
      <t>シキン</t>
    </rPh>
    <phoneticPr fontId="3"/>
  </si>
  <si>
    <t>障害者</t>
    <rPh sb="0" eb="3">
      <t>ショウガイシャ</t>
    </rPh>
    <phoneticPr fontId="3"/>
  </si>
  <si>
    <t>(21～23)</t>
    <phoneticPr fontId="3"/>
  </si>
  <si>
    <t>：</t>
    <phoneticPr fontId="3"/>
  </si>
  <si>
    <t>平成21年度から保険料段階が７段階から12段階に変更された。</t>
    <phoneticPr fontId="3"/>
  </si>
  <si>
    <t>平成24年度から特3段階（特例第３段階）が新設された。</t>
    <rPh sb="0" eb="2">
      <t>ヘイセイ</t>
    </rPh>
    <rPh sb="4" eb="5">
      <t>ネン</t>
    </rPh>
    <rPh sb="5" eb="6">
      <t>ド</t>
    </rPh>
    <rPh sb="8" eb="9">
      <t>トク</t>
    </rPh>
    <rPh sb="10" eb="12">
      <t>ダンカイ</t>
    </rPh>
    <rPh sb="13" eb="15">
      <t>トクレイ</t>
    </rPh>
    <rPh sb="15" eb="16">
      <t>ダイ</t>
    </rPh>
    <rPh sb="17" eb="19">
      <t>ダンカイ</t>
    </rPh>
    <rPh sb="21" eb="23">
      <t>シンセツ</t>
    </rPh>
    <phoneticPr fontId="3"/>
  </si>
  <si>
    <t>表112　生　　活　　保　　護</t>
    <rPh sb="0" eb="1">
      <t>ヒョウ</t>
    </rPh>
    <rPh sb="5" eb="6">
      <t>セイ</t>
    </rPh>
    <rPh sb="8" eb="9">
      <t>カツ</t>
    </rPh>
    <rPh sb="11" eb="12">
      <t>タモツ</t>
    </rPh>
    <rPh sb="14" eb="15">
      <t>マモル</t>
    </rPh>
    <phoneticPr fontId="8"/>
  </si>
  <si>
    <t>表113　資　金　貸　付　状　況</t>
    <rPh sb="5" eb="6">
      <t>シ</t>
    </rPh>
    <rPh sb="7" eb="8">
      <t>キン</t>
    </rPh>
    <rPh sb="9" eb="10">
      <t>カシ</t>
    </rPh>
    <rPh sb="11" eb="12">
      <t>ツキ</t>
    </rPh>
    <rPh sb="13" eb="14">
      <t>ジョウ</t>
    </rPh>
    <rPh sb="15" eb="16">
      <t>キョウ</t>
    </rPh>
    <phoneticPr fontId="3"/>
  </si>
  <si>
    <t>表114　居　宅　生　活　支　援</t>
    <rPh sb="5" eb="6">
      <t>キョ</t>
    </rPh>
    <rPh sb="7" eb="8">
      <t>タク</t>
    </rPh>
    <rPh sb="9" eb="10">
      <t>セイ</t>
    </rPh>
    <rPh sb="11" eb="12">
      <t>カツ</t>
    </rPh>
    <rPh sb="13" eb="14">
      <t>シ</t>
    </rPh>
    <rPh sb="15" eb="16">
      <t>エン</t>
    </rPh>
    <phoneticPr fontId="3"/>
  </si>
  <si>
    <t>表115　身　体　障　害　者　名　簿　登　載　者　数</t>
    <rPh sb="5" eb="6">
      <t>ミ</t>
    </rPh>
    <rPh sb="7" eb="8">
      <t>カラダ</t>
    </rPh>
    <rPh sb="9" eb="10">
      <t>ショウ</t>
    </rPh>
    <rPh sb="11" eb="12">
      <t>ガイ</t>
    </rPh>
    <rPh sb="13" eb="14">
      <t>シャ</t>
    </rPh>
    <rPh sb="15" eb="16">
      <t>メイ</t>
    </rPh>
    <rPh sb="17" eb="18">
      <t>ボ</t>
    </rPh>
    <rPh sb="19" eb="20">
      <t>ノボル</t>
    </rPh>
    <rPh sb="21" eb="22">
      <t>ミツル</t>
    </rPh>
    <rPh sb="23" eb="24">
      <t>シャ</t>
    </rPh>
    <rPh sb="25" eb="26">
      <t>スウ</t>
    </rPh>
    <phoneticPr fontId="3"/>
  </si>
  <si>
    <t>表116　知　的　障　害　者　名　簿　登　載　者　数</t>
    <rPh sb="5" eb="6">
      <t>チ</t>
    </rPh>
    <rPh sb="7" eb="8">
      <t>マト</t>
    </rPh>
    <rPh sb="9" eb="10">
      <t>ショウ</t>
    </rPh>
    <rPh sb="11" eb="12">
      <t>ガイ</t>
    </rPh>
    <rPh sb="13" eb="14">
      <t>シャ</t>
    </rPh>
    <rPh sb="15" eb="16">
      <t>メイ</t>
    </rPh>
    <rPh sb="17" eb="18">
      <t>ボ</t>
    </rPh>
    <rPh sb="19" eb="20">
      <t>ノボル</t>
    </rPh>
    <rPh sb="21" eb="22">
      <t>ミツル</t>
    </rPh>
    <rPh sb="23" eb="24">
      <t>シャ</t>
    </rPh>
    <rPh sb="25" eb="26">
      <t>スウ</t>
    </rPh>
    <phoneticPr fontId="3"/>
  </si>
  <si>
    <t>表119　福祉作業所通所者数および工賃支払高</t>
    <rPh sb="5" eb="7">
      <t>フクシ</t>
    </rPh>
    <rPh sb="7" eb="9">
      <t>サギョウ</t>
    </rPh>
    <rPh sb="9" eb="10">
      <t>ジョ</t>
    </rPh>
    <rPh sb="10" eb="12">
      <t>ツウショ</t>
    </rPh>
    <rPh sb="12" eb="13">
      <t>シャ</t>
    </rPh>
    <rPh sb="13" eb="14">
      <t>スウ</t>
    </rPh>
    <rPh sb="17" eb="19">
      <t>コウチン</t>
    </rPh>
    <rPh sb="19" eb="21">
      <t>シハライ</t>
    </rPh>
    <rPh sb="21" eb="22">
      <t>ダカ</t>
    </rPh>
    <phoneticPr fontId="7"/>
  </si>
  <si>
    <t>表120　心 身 障 害 者 福 祉 集 会 所 利 用 件 数</t>
    <rPh sb="0" eb="1">
      <t>ヒョウ</t>
    </rPh>
    <rPh sb="5" eb="6">
      <t>ココロ</t>
    </rPh>
    <rPh sb="7" eb="8">
      <t>ミ</t>
    </rPh>
    <rPh sb="9" eb="10">
      <t>ショウ</t>
    </rPh>
    <rPh sb="11" eb="12">
      <t>ガイ</t>
    </rPh>
    <rPh sb="13" eb="14">
      <t>シャ</t>
    </rPh>
    <rPh sb="15" eb="16">
      <t>フク</t>
    </rPh>
    <rPh sb="17" eb="18">
      <t>シ</t>
    </rPh>
    <rPh sb="19" eb="20">
      <t>シュウ</t>
    </rPh>
    <rPh sb="21" eb="22">
      <t>カイ</t>
    </rPh>
    <rPh sb="23" eb="24">
      <t>ショ</t>
    </rPh>
    <rPh sb="25" eb="26">
      <t>リ</t>
    </rPh>
    <rPh sb="27" eb="28">
      <t>ヨウ</t>
    </rPh>
    <rPh sb="29" eb="30">
      <t>ケン</t>
    </rPh>
    <rPh sb="31" eb="32">
      <t>スウ</t>
    </rPh>
    <phoneticPr fontId="3"/>
  </si>
  <si>
    <t>表121　障 害 者 地 域 生 活 支 援 セ ン タ ー 利 用 件 数</t>
    <rPh sb="5" eb="6">
      <t>ショウ</t>
    </rPh>
    <rPh sb="7" eb="8">
      <t>ガイ</t>
    </rPh>
    <rPh sb="9" eb="10">
      <t>シャ</t>
    </rPh>
    <rPh sb="11" eb="12">
      <t>チ</t>
    </rPh>
    <rPh sb="13" eb="14">
      <t>イキ</t>
    </rPh>
    <rPh sb="15" eb="16">
      <t>セイ</t>
    </rPh>
    <rPh sb="17" eb="18">
      <t>カツ</t>
    </rPh>
    <rPh sb="19" eb="20">
      <t>シ</t>
    </rPh>
    <rPh sb="21" eb="22">
      <t>エン</t>
    </rPh>
    <rPh sb="31" eb="32">
      <t>リ</t>
    </rPh>
    <rPh sb="33" eb="34">
      <t>ヨウ</t>
    </rPh>
    <rPh sb="35" eb="36">
      <t>ケン</t>
    </rPh>
    <rPh sb="37" eb="38">
      <t>スウ</t>
    </rPh>
    <phoneticPr fontId="3"/>
  </si>
  <si>
    <t>表122　高　齢　者　福　祉　サ　ー　ビ　ス　状　況</t>
    <rPh sb="5" eb="6">
      <t>コウ</t>
    </rPh>
    <rPh sb="7" eb="8">
      <t>レイ</t>
    </rPh>
    <rPh sb="9" eb="10">
      <t>シャ</t>
    </rPh>
    <rPh sb="11" eb="12">
      <t>フク</t>
    </rPh>
    <rPh sb="13" eb="14">
      <t>シ</t>
    </rPh>
    <rPh sb="23" eb="24">
      <t>ジョウ</t>
    </rPh>
    <rPh sb="25" eb="26">
      <t>キョウ</t>
    </rPh>
    <phoneticPr fontId="3"/>
  </si>
  <si>
    <t>表124　老　人　ホ　ー　ム　措　置　・　入　所　状　況</t>
    <rPh sb="5" eb="6">
      <t>ロウ</t>
    </rPh>
    <rPh sb="7" eb="8">
      <t>ニン</t>
    </rPh>
    <rPh sb="15" eb="16">
      <t>ソ</t>
    </rPh>
    <rPh sb="17" eb="18">
      <t>チ</t>
    </rPh>
    <rPh sb="21" eb="22">
      <t>イ</t>
    </rPh>
    <rPh sb="23" eb="24">
      <t>ショ</t>
    </rPh>
    <rPh sb="25" eb="26">
      <t>ジョウ</t>
    </rPh>
    <rPh sb="27" eb="28">
      <t>キョウ</t>
    </rPh>
    <phoneticPr fontId="6"/>
  </si>
  <si>
    <t>表125　国　　民　　健　　康　　保　　険</t>
    <rPh sb="5" eb="6">
      <t>クニ</t>
    </rPh>
    <rPh sb="8" eb="9">
      <t>タミ</t>
    </rPh>
    <rPh sb="11" eb="12">
      <t>ケン</t>
    </rPh>
    <rPh sb="14" eb="15">
      <t>ヤスシ</t>
    </rPh>
    <rPh sb="17" eb="18">
      <t>タモツ</t>
    </rPh>
    <rPh sb="20" eb="21">
      <t>ケン</t>
    </rPh>
    <phoneticPr fontId="3"/>
  </si>
  <si>
    <t>表126　介　　護　　保　　険</t>
    <rPh sb="5" eb="6">
      <t>カイ</t>
    </rPh>
    <rPh sb="8" eb="9">
      <t>マモル</t>
    </rPh>
    <rPh sb="11" eb="12">
      <t>タモツ</t>
    </rPh>
    <rPh sb="14" eb="15">
      <t>ケン</t>
    </rPh>
    <phoneticPr fontId="3"/>
  </si>
  <si>
    <t>表127　国　　民　　年　　金</t>
    <rPh sb="0" eb="1">
      <t>ヒョウ</t>
    </rPh>
    <rPh sb="5" eb="6">
      <t>クニ</t>
    </rPh>
    <rPh sb="8" eb="9">
      <t>タミ</t>
    </rPh>
    <rPh sb="11" eb="12">
      <t>トシ</t>
    </rPh>
    <rPh sb="14" eb="15">
      <t>キン</t>
    </rPh>
    <phoneticPr fontId="3"/>
  </si>
  <si>
    <t>表128　後期高齢者医療制度に基づく医療給付状況</t>
    <rPh sb="5" eb="7">
      <t>コウキ</t>
    </rPh>
    <rPh sb="7" eb="10">
      <t>コウレイシャ</t>
    </rPh>
    <rPh sb="10" eb="12">
      <t>イリョウ</t>
    </rPh>
    <rPh sb="12" eb="14">
      <t>セイド</t>
    </rPh>
    <rPh sb="15" eb="16">
      <t>モト</t>
    </rPh>
    <rPh sb="18" eb="20">
      <t>イリョウ</t>
    </rPh>
    <rPh sb="20" eb="22">
      <t>キュウフ</t>
    </rPh>
    <rPh sb="22" eb="24">
      <t>ジョウキョウ</t>
    </rPh>
    <phoneticPr fontId="3"/>
  </si>
  <si>
    <t>表117　精神障害者保健福祉手帳所持者数</t>
    <rPh sb="0" eb="1">
      <t>ヒョウ</t>
    </rPh>
    <rPh sb="5" eb="7">
      <t>セイシン</t>
    </rPh>
    <rPh sb="7" eb="10">
      <t>ショウガイシャ</t>
    </rPh>
    <rPh sb="10" eb="12">
      <t>ホケン</t>
    </rPh>
    <rPh sb="12" eb="14">
      <t>フクシ</t>
    </rPh>
    <rPh sb="14" eb="16">
      <t>テチョウ</t>
    </rPh>
    <rPh sb="16" eb="19">
      <t>ショジシャ</t>
    </rPh>
    <rPh sb="19" eb="20">
      <t>スウ</t>
    </rPh>
    <phoneticPr fontId="3"/>
  </si>
  <si>
    <t>１人当り
件数</t>
    <rPh sb="1" eb="2">
      <t>ニン</t>
    </rPh>
    <rPh sb="2" eb="3">
      <t>アタ</t>
    </rPh>
    <rPh sb="5" eb="7">
      <t>ケンスウ</t>
    </rPh>
    <phoneticPr fontId="3"/>
  </si>
  <si>
    <t>費用額</t>
    <rPh sb="0" eb="2">
      <t>ヒヨウ</t>
    </rPh>
    <rPh sb="2" eb="3">
      <t>ガク</t>
    </rPh>
    <phoneticPr fontId="3"/>
  </si>
  <si>
    <t>保険者
負担分</t>
    <rPh sb="0" eb="3">
      <t>ホケンシャ</t>
    </rPh>
    <rPh sb="4" eb="7">
      <t>フタンブン</t>
    </rPh>
    <phoneticPr fontId="3"/>
  </si>
  <si>
    <t>一部負担金</t>
    <rPh sb="0" eb="2">
      <t>イチブ</t>
    </rPh>
    <rPh sb="2" eb="5">
      <t>フタンキン</t>
    </rPh>
    <phoneticPr fontId="3"/>
  </si>
  <si>
    <t>その他の
負担額</t>
    <rPh sb="2" eb="3">
      <t>タ</t>
    </rPh>
    <rPh sb="5" eb="7">
      <t>フタン</t>
    </rPh>
    <rPh sb="7" eb="8">
      <t>ガク</t>
    </rPh>
    <phoneticPr fontId="3"/>
  </si>
  <si>
    <t>１人当り
費用額</t>
    <rPh sb="1" eb="2">
      <t>ニン</t>
    </rPh>
    <rPh sb="2" eb="3">
      <t>アタ</t>
    </rPh>
    <rPh sb="5" eb="7">
      <t>ヒヨウ</t>
    </rPh>
    <rPh sb="7" eb="8">
      <t>ガク</t>
    </rPh>
    <phoneticPr fontId="3"/>
  </si>
  <si>
    <t>:</t>
    <phoneticPr fontId="3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</si>
  <si>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カタ</t>
    </rPh>
    <rPh sb="10" eb="12">
      <t>ホウモン</t>
    </rPh>
    <rPh sb="12" eb="14">
      <t>カイゴ</t>
    </rPh>
    <rPh sb="14" eb="16">
      <t>カンゴ</t>
    </rPh>
    <phoneticPr fontId="3"/>
  </si>
  <si>
    <t>緊急通報システム
設置数</t>
    <rPh sb="0" eb="2">
      <t>キンキュウ</t>
    </rPh>
    <rPh sb="2" eb="4">
      <t>ツウホウ</t>
    </rPh>
    <rPh sb="9" eb="12">
      <t>セッチスウ</t>
    </rPh>
    <phoneticPr fontId="3"/>
  </si>
  <si>
    <t>高齢者福祉電話
(電話訪問世帯数)</t>
    <rPh sb="0" eb="3">
      <t>コウレイシャ</t>
    </rPh>
    <rPh sb="3" eb="5">
      <t>フクシ</t>
    </rPh>
    <rPh sb="5" eb="7">
      <t>デンワ</t>
    </rPh>
    <rPh sb="9" eb="11">
      <t>デンワ</t>
    </rPh>
    <rPh sb="11" eb="13">
      <t>ホウモン</t>
    </rPh>
    <rPh sb="13" eb="16">
      <t>セタイスウ</t>
    </rPh>
    <phoneticPr fontId="3"/>
  </si>
  <si>
    <t>＊</t>
    <phoneticPr fontId="3"/>
  </si>
  <si>
    <t>家族介護者教室
参加者数</t>
    <rPh sb="0" eb="2">
      <t>カゾク</t>
    </rPh>
    <rPh sb="2" eb="4">
      <t>カイゴ</t>
    </rPh>
    <rPh sb="4" eb="5">
      <t>シャ</t>
    </rPh>
    <rPh sb="5" eb="7">
      <t>キョウシツ</t>
    </rPh>
    <rPh sb="8" eb="10">
      <t>サンカ</t>
    </rPh>
    <rPh sb="10" eb="11">
      <t>シャ</t>
    </rPh>
    <rPh sb="11" eb="12">
      <t>スウ</t>
    </rPh>
    <phoneticPr fontId="3"/>
  </si>
  <si>
    <t>利用者数</t>
    <rPh sb="0" eb="3">
      <t>リヨウシャ</t>
    </rPh>
    <rPh sb="3" eb="4">
      <t>スウ</t>
    </rPh>
    <phoneticPr fontId="3"/>
  </si>
  <si>
    <t>延食数</t>
    <rPh sb="0" eb="1">
      <t>ノ</t>
    </rPh>
    <rPh sb="1" eb="2">
      <t>ショク</t>
    </rPh>
    <rPh sb="2" eb="3">
      <t>スウ</t>
    </rPh>
    <phoneticPr fontId="3"/>
  </si>
  <si>
    <t>＊</t>
    <phoneticPr fontId="3"/>
  </si>
  <si>
    <t>居宅介護</t>
    <rPh sb="0" eb="2">
      <t>キョタク</t>
    </rPh>
    <rPh sb="2" eb="4">
      <t>カイゴ</t>
    </rPh>
    <phoneticPr fontId="3"/>
  </si>
  <si>
    <t>：</t>
    <phoneticPr fontId="3"/>
  </si>
  <si>
    <t>障害者地域生活支援センターは現在、豊玉（平成15年12月開設）、光が丘（平成19年11月開設）、石神井（平成21年５月開設）、</t>
    <rPh sb="0" eb="3">
      <t>ショウガイシャ</t>
    </rPh>
    <rPh sb="3" eb="5">
      <t>チイキ</t>
    </rPh>
    <rPh sb="5" eb="7">
      <t>セイカツ</t>
    </rPh>
    <rPh sb="7" eb="9">
      <t>シエン</t>
    </rPh>
    <rPh sb="14" eb="16">
      <t>ゲンザイ</t>
    </rPh>
    <rPh sb="17" eb="19">
      <t>トヨタマ</t>
    </rPh>
    <rPh sb="20" eb="22">
      <t>ヘイセイ</t>
    </rPh>
    <rPh sb="24" eb="25">
      <t>ネン</t>
    </rPh>
    <rPh sb="27" eb="28">
      <t>ガツ</t>
    </rPh>
    <rPh sb="28" eb="30">
      <t>カイセツ</t>
    </rPh>
    <rPh sb="32" eb="33">
      <t>ヒカリ</t>
    </rPh>
    <rPh sb="34" eb="35">
      <t>オカ</t>
    </rPh>
    <rPh sb="48" eb="51">
      <t>シャクジイ</t>
    </rPh>
    <rPh sb="59" eb="61">
      <t>カイセツ</t>
    </rPh>
    <phoneticPr fontId="11"/>
  </si>
  <si>
    <t>大泉（平成22年５月開設）の４か所で運営している。</t>
    <rPh sb="9" eb="10">
      <t>ガツ</t>
    </rPh>
    <rPh sb="10" eb="12">
      <t>カイセツ</t>
    </rPh>
    <rPh sb="16" eb="17">
      <t>ショ</t>
    </rPh>
    <rPh sb="18" eb="20">
      <t>ウンエイ</t>
    </rPh>
    <phoneticPr fontId="11"/>
  </si>
  <si>
    <t>表123　高 齢 者 福 祉 施 設 等 の 定 員</t>
    <rPh sb="5" eb="6">
      <t>コウ</t>
    </rPh>
    <rPh sb="7" eb="8">
      <t>トシ</t>
    </rPh>
    <rPh sb="9" eb="10">
      <t>モノ</t>
    </rPh>
    <rPh sb="11" eb="12">
      <t>フク</t>
    </rPh>
    <rPh sb="13" eb="14">
      <t>シ</t>
    </rPh>
    <rPh sb="15" eb="16">
      <t>シ</t>
    </rPh>
    <rPh sb="17" eb="18">
      <t>セツ</t>
    </rPh>
    <rPh sb="19" eb="20">
      <t>トウ</t>
    </rPh>
    <rPh sb="23" eb="24">
      <t>テイ</t>
    </rPh>
    <rPh sb="25" eb="26">
      <t>イン</t>
    </rPh>
    <phoneticPr fontId="6"/>
  </si>
  <si>
    <t>(1)　特別養護老人ホーム</t>
    <rPh sb="4" eb="6">
      <t>トクベツ</t>
    </rPh>
    <rPh sb="6" eb="8">
      <t>ヨウゴ</t>
    </rPh>
    <rPh sb="8" eb="10">
      <t>ロウジン</t>
    </rPh>
    <phoneticPr fontId="3"/>
  </si>
  <si>
    <t>施設数</t>
    <rPh sb="0" eb="2">
      <t>シセツ</t>
    </rPh>
    <rPh sb="2" eb="3">
      <t>スウ</t>
    </rPh>
    <phoneticPr fontId="3"/>
  </si>
  <si>
    <t>定員</t>
    <rPh sb="0" eb="2">
      <t>テイイン</t>
    </rPh>
    <phoneticPr fontId="3"/>
  </si>
  <si>
    <t>年</t>
    <rPh sb="0" eb="1">
      <t>トシ</t>
    </rPh>
    <phoneticPr fontId="3"/>
  </si>
  <si>
    <t>：</t>
    <phoneticPr fontId="3"/>
  </si>
  <si>
    <t>区の助成により整備されたものには、このほか「東京武蔵野ホーム」（板橋区、定員30人）がある。</t>
    <rPh sb="0" eb="1">
      <t>ク</t>
    </rPh>
    <rPh sb="2" eb="4">
      <t>ジョセイ</t>
    </rPh>
    <rPh sb="7" eb="9">
      <t>セイビ</t>
    </rPh>
    <rPh sb="22" eb="24">
      <t>トウキョウ</t>
    </rPh>
    <rPh sb="24" eb="27">
      <t>ムサシノ</t>
    </rPh>
    <rPh sb="32" eb="35">
      <t>イタバシク</t>
    </rPh>
    <rPh sb="36" eb="38">
      <t>テイイン</t>
    </rPh>
    <rPh sb="40" eb="41">
      <t>ニン</t>
    </rPh>
    <phoneticPr fontId="3"/>
  </si>
  <si>
    <t>：</t>
    <phoneticPr fontId="3"/>
  </si>
  <si>
    <t>(2)　介護老人保健施設</t>
    <rPh sb="4" eb="6">
      <t>カイゴ</t>
    </rPh>
    <rPh sb="6" eb="8">
      <t>ロウジン</t>
    </rPh>
    <rPh sb="8" eb="10">
      <t>ホケン</t>
    </rPh>
    <rPh sb="10" eb="12">
      <t>シセツ</t>
    </rPh>
    <phoneticPr fontId="3"/>
  </si>
  <si>
    <t>：</t>
    <phoneticPr fontId="3"/>
  </si>
  <si>
    <t>軽費老人ホーム</t>
    <rPh sb="0" eb="2">
      <t>ケイヒ</t>
    </rPh>
    <rPh sb="2" eb="4">
      <t>ロウジン</t>
    </rPh>
    <phoneticPr fontId="3"/>
  </si>
  <si>
    <t>都市型軽費老人ホーム</t>
    <rPh sb="0" eb="3">
      <t>トシガタ</t>
    </rPh>
    <rPh sb="3" eb="5">
      <t>ケイヒ</t>
    </rPh>
    <rPh sb="5" eb="7">
      <t>ロウジン</t>
    </rPh>
    <phoneticPr fontId="3"/>
  </si>
  <si>
    <t>(3)　軽費老人ホーム</t>
    <rPh sb="4" eb="6">
      <t>ケイヒ</t>
    </rPh>
    <rPh sb="6" eb="8">
      <t>ロウジン</t>
    </rPh>
    <phoneticPr fontId="3"/>
  </si>
  <si>
    <t>(4)　認知症高齢者グループホーム</t>
    <rPh sb="4" eb="7">
      <t>ニンチショウ</t>
    </rPh>
    <rPh sb="7" eb="10">
      <t>コウレイシャ</t>
    </rPh>
    <phoneticPr fontId="3"/>
  </si>
  <si>
    <t>：</t>
    <phoneticPr fontId="3"/>
  </si>
  <si>
    <t>年</t>
    <rPh sb="0" eb="1">
      <t>トシ</t>
    </rPh>
    <phoneticPr fontId="7"/>
  </si>
  <si>
    <t>高齢者福祉、障害者福祉、生活保護、社会保障、保育、学校に関する数値など</t>
    <rPh sb="0" eb="3">
      <t>コウレイシャ</t>
    </rPh>
    <rPh sb="3" eb="5">
      <t>フクシ</t>
    </rPh>
    <rPh sb="6" eb="9">
      <t>ショウガイシャ</t>
    </rPh>
    <rPh sb="9" eb="11">
      <t>フクシ</t>
    </rPh>
    <rPh sb="12" eb="14">
      <t>セイカツ</t>
    </rPh>
    <rPh sb="14" eb="16">
      <t>ホゴ</t>
    </rPh>
    <rPh sb="17" eb="19">
      <t>シャカイ</t>
    </rPh>
    <rPh sb="19" eb="21">
      <t>ホショウ</t>
    </rPh>
    <rPh sb="22" eb="24">
      <t>ホイク</t>
    </rPh>
    <rPh sb="25" eb="27">
      <t>ガッコウ</t>
    </rPh>
    <rPh sb="28" eb="29">
      <t>カン</t>
    </rPh>
    <rPh sb="31" eb="33">
      <t>スウチ</t>
    </rPh>
    <phoneticPr fontId="3"/>
  </si>
  <si>
    <t>目的外利用分の件数については、166ページの「表82(2)光が丘区民センター」に掲載している。</t>
    <rPh sb="0" eb="2">
      <t>モクテキ</t>
    </rPh>
    <rPh sb="2" eb="3">
      <t>ガイ</t>
    </rPh>
    <rPh sb="3" eb="5">
      <t>リヨウ</t>
    </rPh>
    <rPh sb="5" eb="6">
      <t>ブン</t>
    </rPh>
    <rPh sb="7" eb="9">
      <t>ケンスウ</t>
    </rPh>
    <rPh sb="23" eb="24">
      <t>ヒョウ</t>
    </rPh>
    <rPh sb="29" eb="30">
      <t>ヒカリ</t>
    </rPh>
    <rPh sb="31" eb="32">
      <t>オカ</t>
    </rPh>
    <rPh sb="32" eb="34">
      <t>クミン</t>
    </rPh>
    <rPh sb="40" eb="42">
      <t>ケイサイ</t>
    </rPh>
    <phoneticPr fontId="3"/>
  </si>
  <si>
    <t>年</t>
    <rPh sb="0" eb="1">
      <t>ネン</t>
    </rPh>
    <phoneticPr fontId="3"/>
  </si>
  <si>
    <t>「入所者」と「退所者」は各年度の合計数、「在所者」と「待機者」は各年度末現在の数値である。</t>
    <rPh sb="1" eb="4">
      <t>ニュウショシャ</t>
    </rPh>
    <rPh sb="7" eb="9">
      <t>タイショ</t>
    </rPh>
    <rPh sb="9" eb="10">
      <t>シャ</t>
    </rPh>
    <rPh sb="12" eb="15">
      <t>カクネンド</t>
    </rPh>
    <rPh sb="16" eb="19">
      <t>ゴウケイスウ</t>
    </rPh>
    <rPh sb="21" eb="23">
      <t>ザイショ</t>
    </rPh>
    <rPh sb="23" eb="24">
      <t>シャ</t>
    </rPh>
    <rPh sb="27" eb="30">
      <t>タイキシャ</t>
    </rPh>
    <rPh sb="32" eb="35">
      <t>カクネンド</t>
    </rPh>
    <rPh sb="35" eb="36">
      <t>マツ</t>
    </rPh>
    <rPh sb="36" eb="38">
      <t>ゲンザイ</t>
    </rPh>
    <rPh sb="39" eb="41">
      <t>スウチ</t>
    </rPh>
    <phoneticPr fontId="6"/>
  </si>
  <si>
    <t>高齢者見守り
訪問利用者数</t>
    <rPh sb="0" eb="3">
      <t>コウレイシャ</t>
    </rPh>
    <rPh sb="3" eb="5">
      <t>ミマモ</t>
    </rPh>
    <rPh sb="7" eb="9">
      <t>ホウモン</t>
    </rPh>
    <rPh sb="9" eb="11">
      <t>リヨウ</t>
    </rPh>
    <rPh sb="11" eb="12">
      <t>シャ</t>
    </rPh>
    <rPh sb="12" eb="13">
      <t>スウ</t>
    </rPh>
    <phoneticPr fontId="3"/>
  </si>
  <si>
    <t>食事サービス</t>
    <rPh sb="0" eb="2">
      <t>ショクジ</t>
    </rPh>
    <phoneticPr fontId="3"/>
  </si>
  <si>
    <t>配食</t>
    <phoneticPr fontId="13"/>
  </si>
  <si>
    <t>会食</t>
    <phoneticPr fontId="13"/>
  </si>
  <si>
    <t>福祉・教育・社会保障</t>
    <phoneticPr fontId="25"/>
  </si>
  <si>
    <t>10</t>
    <phoneticPr fontId="25"/>
  </si>
  <si>
    <t>(各年４月１日現在)</t>
    <rPh sb="1" eb="3">
      <t>カクネン</t>
    </rPh>
    <rPh sb="4" eb="5">
      <t>ガツ</t>
    </rPh>
    <rPh sb="6" eb="9">
      <t>ニチゲンザイ</t>
    </rPh>
    <rPh sb="7" eb="9">
      <t>ゲンザイ</t>
    </rPh>
    <phoneticPr fontId="3"/>
  </si>
  <si>
    <t>｢対象者数｣は、各年度末日(３月31日)現在の数値である。</t>
    <rPh sb="1" eb="4">
      <t>タイショウシャ</t>
    </rPh>
    <rPh sb="4" eb="5">
      <t>スウ</t>
    </rPh>
    <rPh sb="8" eb="9">
      <t>カク</t>
    </rPh>
    <rPh sb="9" eb="10">
      <t>ネン</t>
    </rPh>
    <rPh sb="10" eb="11">
      <t>ド</t>
    </rPh>
    <rPh sb="11" eb="12">
      <t>マツ</t>
    </rPh>
    <rPh sb="12" eb="13">
      <t>ニチ</t>
    </rPh>
    <rPh sb="15" eb="16">
      <t>ガツ</t>
    </rPh>
    <rPh sb="18" eb="19">
      <t>ニチ</t>
    </rPh>
    <rPh sb="20" eb="22">
      <t>ゲンザイ</t>
    </rPh>
    <rPh sb="23" eb="25">
      <t>スウチ</t>
    </rPh>
    <phoneticPr fontId="3"/>
  </si>
  <si>
    <t>世帯数、被保険者数は年度ごとに算出した年間平均である。</t>
    <rPh sb="0" eb="3">
      <t>セタイスウ</t>
    </rPh>
    <rPh sb="4" eb="8">
      <t>ヒホケンシャ</t>
    </rPh>
    <rPh sb="8" eb="9">
      <t>スウ</t>
    </rPh>
    <rPh sb="10" eb="12">
      <t>ネンド</t>
    </rPh>
    <rPh sb="15" eb="17">
      <t>サンシュツ</t>
    </rPh>
    <rPh sb="19" eb="21">
      <t>ネンカン</t>
    </rPh>
    <rPh sb="21" eb="23">
      <t>ヘイキン</t>
    </rPh>
    <phoneticPr fontId="3"/>
  </si>
  <si>
    <t>表118　心身障害者福祉手当および医療費助成状況</t>
    <rPh sb="5" eb="7">
      <t>シンシン</t>
    </rPh>
    <rPh sb="7" eb="10">
      <t>ショウガイシャ</t>
    </rPh>
    <rPh sb="10" eb="12">
      <t>フクシ</t>
    </rPh>
    <rPh sb="12" eb="14">
      <t>テアテ</t>
    </rPh>
    <rPh sb="17" eb="20">
      <t>イリョウヒ</t>
    </rPh>
    <rPh sb="20" eb="22">
      <t>ジョセイ</t>
    </rPh>
    <rPh sb="22" eb="24">
      <t>ジョウキョウ</t>
    </rPh>
    <phoneticPr fontId="7"/>
  </si>
  <si>
    <r>
      <t>出産扶助</t>
    </r>
    <r>
      <rPr>
        <sz val="6"/>
        <color theme="1"/>
        <rFont val="ＭＳ 明朝"/>
        <family val="1"/>
        <charset val="128"/>
      </rPr>
      <t/>
    </r>
    <rPh sb="0" eb="2">
      <t>シュッサン</t>
    </rPh>
    <rPh sb="2" eb="4">
      <t>フジョ</t>
    </rPh>
    <phoneticPr fontId="8"/>
  </si>
  <si>
    <r>
      <t>生業扶助</t>
    </r>
    <r>
      <rPr>
        <sz val="6"/>
        <color theme="1"/>
        <rFont val="ＭＳ 明朝"/>
        <family val="1"/>
        <charset val="128"/>
      </rPr>
      <t/>
    </r>
    <rPh sb="0" eb="2">
      <t>セイギョウ</t>
    </rPh>
    <rPh sb="2" eb="4">
      <t>フジョ</t>
    </rPh>
    <phoneticPr fontId="8"/>
  </si>
  <si>
    <r>
      <t>葬祭扶助</t>
    </r>
    <r>
      <rPr>
        <sz val="6"/>
        <color theme="1"/>
        <rFont val="ＭＳ 明朝"/>
        <family val="1"/>
        <charset val="128"/>
      </rPr>
      <t/>
    </r>
    <rPh sb="0" eb="2">
      <t>ソウサイ</t>
    </rPh>
    <rPh sb="2" eb="4">
      <t>フジョ</t>
    </rPh>
    <phoneticPr fontId="8"/>
  </si>
  <si>
    <t>生活扶助、住宅扶助、教育扶助、介護扶助、医療扶助は、各年度３月現在の数値である。</t>
    <rPh sb="0" eb="2">
      <t>セイカツ</t>
    </rPh>
    <rPh sb="2" eb="4">
      <t>フジョ</t>
    </rPh>
    <rPh sb="5" eb="7">
      <t>ジュウタク</t>
    </rPh>
    <rPh sb="7" eb="9">
      <t>フジョ</t>
    </rPh>
    <rPh sb="10" eb="12">
      <t>キョウイク</t>
    </rPh>
    <rPh sb="12" eb="14">
      <t>フジョ</t>
    </rPh>
    <rPh sb="15" eb="17">
      <t>カイゴ</t>
    </rPh>
    <rPh sb="17" eb="19">
      <t>フジョ</t>
    </rPh>
    <rPh sb="20" eb="22">
      <t>イリョウ</t>
    </rPh>
    <rPh sb="22" eb="24">
      <t>フジョ</t>
    </rPh>
    <rPh sb="26" eb="29">
      <t>カクネンド</t>
    </rPh>
    <rPh sb="30" eb="31">
      <t>ガツ</t>
    </rPh>
    <rPh sb="31" eb="33">
      <t>ゲンザイ</t>
    </rPh>
    <rPh sb="34" eb="36">
      <t>スウチ</t>
    </rPh>
    <phoneticPr fontId="3"/>
  </si>
  <si>
    <t>出産扶助、生業扶助、葬祭扶助は、各年度の累計値である。</t>
    <rPh sb="0" eb="2">
      <t>シュッサン</t>
    </rPh>
    <rPh sb="2" eb="4">
      <t>フジョ</t>
    </rPh>
    <rPh sb="5" eb="7">
      <t>セイギョウ</t>
    </rPh>
    <rPh sb="7" eb="9">
      <t>フジョ</t>
    </rPh>
    <rPh sb="10" eb="12">
      <t>ソウサイ</t>
    </rPh>
    <rPh sb="12" eb="14">
      <t>フジョ</t>
    </rPh>
    <rPh sb="16" eb="19">
      <t>カクネンド</t>
    </rPh>
    <rPh sb="20" eb="22">
      <t>ルイケイ</t>
    </rPh>
    <rPh sb="22" eb="23">
      <t>チ</t>
    </rPh>
    <phoneticPr fontId="3"/>
  </si>
  <si>
    <t>(1)　ひ　と　り　ぐ　ら　し　等　高　齢　者　対　策</t>
    <rPh sb="16" eb="17">
      <t>ナド</t>
    </rPh>
    <rPh sb="18" eb="19">
      <t>コウ</t>
    </rPh>
    <rPh sb="20" eb="21">
      <t>レイ</t>
    </rPh>
    <rPh sb="22" eb="23">
      <t>シャ</t>
    </rPh>
    <rPh sb="24" eb="25">
      <t>タイ</t>
    </rPh>
    <rPh sb="26" eb="27">
      <t>サク</t>
    </rPh>
    <phoneticPr fontId="3"/>
  </si>
  <si>
    <t>要支援１</t>
    <rPh sb="0" eb="1">
      <t>ヨウ</t>
    </rPh>
    <rPh sb="1" eb="3">
      <t>シエン</t>
    </rPh>
    <phoneticPr fontId="3"/>
  </si>
  <si>
    <t>高 額 介 護 等
サ ー ビ ス 費</t>
    <rPh sb="0" eb="1">
      <t>コウ</t>
    </rPh>
    <rPh sb="2" eb="3">
      <t>ガク</t>
    </rPh>
    <rPh sb="4" eb="5">
      <t>カイ</t>
    </rPh>
    <rPh sb="6" eb="7">
      <t>マモル</t>
    </rPh>
    <rPh sb="8" eb="9">
      <t>トウ</t>
    </rPh>
    <rPh sb="18" eb="19">
      <t>ヒ</t>
    </rPh>
    <phoneticPr fontId="3"/>
  </si>
  <si>
    <t>（各年度末現在）</t>
    <rPh sb="1" eb="5">
      <t>カクネンドマツ</t>
    </rPh>
    <rPh sb="5" eb="7">
      <t>ゲンザイ</t>
    </rPh>
    <phoneticPr fontId="8"/>
  </si>
  <si>
    <t>こども家庭部子育て支援課</t>
    <rPh sb="3" eb="5">
      <t>カテイ</t>
    </rPh>
    <rPh sb="5" eb="6">
      <t>ブ</t>
    </rPh>
    <rPh sb="6" eb="8">
      <t>コソダ</t>
    </rPh>
    <rPh sb="9" eb="11">
      <t>シエン</t>
    </rPh>
    <rPh sb="11" eb="12">
      <t>カ</t>
    </rPh>
    <phoneticPr fontId="3"/>
  </si>
  <si>
    <t>：</t>
    <phoneticPr fontId="3"/>
  </si>
  <si>
    <t>学童クラブ数の（　）内の数値は、委託園の数で内数である。</t>
    <rPh sb="0" eb="2">
      <t>ガクドウ</t>
    </rPh>
    <rPh sb="5" eb="6">
      <t>スウ</t>
    </rPh>
    <rPh sb="10" eb="11">
      <t>ナイ</t>
    </rPh>
    <rPh sb="12" eb="14">
      <t>スウチ</t>
    </rPh>
    <rPh sb="16" eb="18">
      <t>イタク</t>
    </rPh>
    <rPh sb="18" eb="19">
      <t>エン</t>
    </rPh>
    <rPh sb="20" eb="21">
      <t>カズ</t>
    </rPh>
    <rPh sb="22" eb="23">
      <t>ナイ</t>
    </rPh>
    <rPh sb="23" eb="24">
      <t>スウ</t>
    </rPh>
    <phoneticPr fontId="3"/>
  </si>
  <si>
    <t>％</t>
    <phoneticPr fontId="3"/>
  </si>
  <si>
    <t>入会率</t>
    <rPh sb="0" eb="2">
      <t>ニュウカイ</t>
    </rPh>
    <rPh sb="2" eb="3">
      <t>リツ</t>
    </rPh>
    <phoneticPr fontId="3"/>
  </si>
  <si>
    <t>入会児童数</t>
    <rPh sb="0" eb="2">
      <t>ニュウカイ</t>
    </rPh>
    <rPh sb="2" eb="4">
      <t>ジドウ</t>
    </rPh>
    <rPh sb="4" eb="5">
      <t>スウ</t>
    </rPh>
    <phoneticPr fontId="3"/>
  </si>
  <si>
    <t>留守家庭児童数</t>
    <rPh sb="0" eb="2">
      <t>ルス</t>
    </rPh>
    <rPh sb="2" eb="4">
      <t>カテイ</t>
    </rPh>
    <rPh sb="4" eb="6">
      <t>ジドウ</t>
    </rPh>
    <rPh sb="6" eb="7">
      <t>スウ</t>
    </rPh>
    <phoneticPr fontId="3"/>
  </si>
  <si>
    <t>職員数</t>
    <rPh sb="0" eb="3">
      <t>ショクインスウ</t>
    </rPh>
    <phoneticPr fontId="3"/>
  </si>
  <si>
    <t>学童クラブ数</t>
    <rPh sb="0" eb="2">
      <t>ガクドウ</t>
    </rPh>
    <rPh sb="5" eb="6">
      <t>スウ</t>
    </rPh>
    <phoneticPr fontId="3"/>
  </si>
  <si>
    <t>(各年10月31日現在)</t>
    <rPh sb="1" eb="2">
      <t>カク</t>
    </rPh>
    <rPh sb="2" eb="3">
      <t>トシ</t>
    </rPh>
    <rPh sb="5" eb="6">
      <t>ガツ</t>
    </rPh>
    <rPh sb="8" eb="9">
      <t>ニチ</t>
    </rPh>
    <rPh sb="9" eb="11">
      <t>ゲンザイ</t>
    </rPh>
    <phoneticPr fontId="3"/>
  </si>
  <si>
    <t>表130　学　童　ク　ラ　ブ　状　況</t>
    <rPh sb="5" eb="6">
      <t>ガク</t>
    </rPh>
    <rPh sb="7" eb="8">
      <t>ワラベ</t>
    </rPh>
    <rPh sb="15" eb="16">
      <t>ジョウ</t>
    </rPh>
    <rPh sb="17" eb="18">
      <t>キョウ</t>
    </rPh>
    <phoneticPr fontId="3"/>
  </si>
  <si>
    <t>：</t>
    <phoneticPr fontId="3"/>
  </si>
  <si>
    <t>児童数</t>
    <rPh sb="0" eb="2">
      <t>ジドウ</t>
    </rPh>
    <rPh sb="2" eb="3">
      <t>スウ</t>
    </rPh>
    <phoneticPr fontId="3"/>
  </si>
  <si>
    <t>障害手当</t>
    <rPh sb="0" eb="2">
      <t>ショウガイ</t>
    </rPh>
    <rPh sb="2" eb="4">
      <t>テアテ</t>
    </rPh>
    <phoneticPr fontId="3"/>
  </si>
  <si>
    <t>育成手当</t>
    <rPh sb="0" eb="2">
      <t>イクセイ</t>
    </rPh>
    <rPh sb="2" eb="4">
      <t>テアテ</t>
    </rPh>
    <phoneticPr fontId="3"/>
  </si>
  <si>
    <t>(3)　児　童　育　成　手　当　</t>
    <rPh sb="4" eb="5">
      <t>ジ</t>
    </rPh>
    <rPh sb="6" eb="7">
      <t>ワラベ</t>
    </rPh>
    <rPh sb="8" eb="9">
      <t>イク</t>
    </rPh>
    <rPh sb="10" eb="11">
      <t>シゲル</t>
    </rPh>
    <rPh sb="12" eb="13">
      <t>テ</t>
    </rPh>
    <rPh sb="14" eb="15">
      <t>トウ</t>
    </rPh>
    <phoneticPr fontId="3"/>
  </si>
  <si>
    <t>：</t>
    <phoneticPr fontId="3"/>
  </si>
  <si>
    <t>特別児童扶養手当</t>
    <rPh sb="0" eb="2">
      <t>トクベツ</t>
    </rPh>
    <rPh sb="2" eb="4">
      <t>ジドウ</t>
    </rPh>
    <rPh sb="4" eb="6">
      <t>フヨウ</t>
    </rPh>
    <rPh sb="6" eb="8">
      <t>テアテ</t>
    </rPh>
    <phoneticPr fontId="3"/>
  </si>
  <si>
    <t>児童扶養手当</t>
    <rPh sb="0" eb="2">
      <t>ジドウ</t>
    </rPh>
    <rPh sb="2" eb="4">
      <t>フヨウ</t>
    </rPh>
    <rPh sb="4" eb="6">
      <t>テアテ</t>
    </rPh>
    <phoneticPr fontId="3"/>
  </si>
  <si>
    <t>（各年12月31日現在）</t>
    <rPh sb="1" eb="2">
      <t>カク</t>
    </rPh>
    <rPh sb="2" eb="3">
      <t>ネン</t>
    </rPh>
    <rPh sb="5" eb="6">
      <t>ガツ</t>
    </rPh>
    <rPh sb="8" eb="9">
      <t>ジツ</t>
    </rPh>
    <rPh sb="9" eb="11">
      <t>ゲンザイ</t>
    </rPh>
    <phoneticPr fontId="3"/>
  </si>
  <si>
    <t>(2)　児 童 扶 養 手 当 お よ び 特 別 児 童 扶 養 手 当</t>
    <rPh sb="4" eb="5">
      <t>ジ</t>
    </rPh>
    <rPh sb="6" eb="7">
      <t>ワラベ</t>
    </rPh>
    <rPh sb="8" eb="9">
      <t>タモツ</t>
    </rPh>
    <rPh sb="10" eb="11">
      <t>マモル</t>
    </rPh>
    <rPh sb="12" eb="13">
      <t>テ</t>
    </rPh>
    <rPh sb="14" eb="15">
      <t>トウ</t>
    </rPh>
    <rPh sb="22" eb="23">
      <t>トク</t>
    </rPh>
    <rPh sb="24" eb="25">
      <t>ベツ</t>
    </rPh>
    <rPh sb="26" eb="27">
      <t>ジ</t>
    </rPh>
    <rPh sb="28" eb="29">
      <t>ワラベ</t>
    </rPh>
    <rPh sb="30" eb="31">
      <t>タモツ</t>
    </rPh>
    <rPh sb="32" eb="33">
      <t>マモル</t>
    </rPh>
    <rPh sb="34" eb="35">
      <t>テ</t>
    </rPh>
    <rPh sb="36" eb="37">
      <t>トウ</t>
    </rPh>
    <phoneticPr fontId="3"/>
  </si>
  <si>
    <t>児童手当の平成22・23年度の数値は、子ども手当の内容である。</t>
    <rPh sb="0" eb="2">
      <t>ジドウ</t>
    </rPh>
    <rPh sb="2" eb="4">
      <t>テアテ</t>
    </rPh>
    <rPh sb="5" eb="7">
      <t>ヘイセイ</t>
    </rPh>
    <rPh sb="12" eb="14">
      <t>ネンド</t>
    </rPh>
    <rPh sb="15" eb="17">
      <t>スウチ</t>
    </rPh>
    <rPh sb="19" eb="20">
      <t>コ</t>
    </rPh>
    <rPh sb="22" eb="24">
      <t>テアテ</t>
    </rPh>
    <rPh sb="25" eb="27">
      <t>ナイヨウ</t>
    </rPh>
    <phoneticPr fontId="3"/>
  </si>
  <si>
    <t>支給金額</t>
    <rPh sb="0" eb="2">
      <t>シキュウ</t>
    </rPh>
    <rPh sb="2" eb="4">
      <t>キンガク</t>
    </rPh>
    <phoneticPr fontId="3"/>
  </si>
  <si>
    <t>児童手当</t>
    <rPh sb="0" eb="2">
      <t>ジドウ</t>
    </rPh>
    <rPh sb="2" eb="4">
      <t>テアテ</t>
    </rPh>
    <phoneticPr fontId="3"/>
  </si>
  <si>
    <t>(1)　児　童　手　当</t>
    <rPh sb="4" eb="5">
      <t>ジ</t>
    </rPh>
    <rPh sb="6" eb="7">
      <t>ワラベ</t>
    </rPh>
    <rPh sb="8" eb="9">
      <t>テ</t>
    </rPh>
    <rPh sb="10" eb="11">
      <t>トウ</t>
    </rPh>
    <phoneticPr fontId="3"/>
  </si>
  <si>
    <t>表129　児　童　手　当　等　支　給　状　況</t>
    <rPh sb="5" eb="6">
      <t>ジ</t>
    </rPh>
    <rPh sb="7" eb="8">
      <t>ワラベ</t>
    </rPh>
    <rPh sb="9" eb="10">
      <t>テ</t>
    </rPh>
    <rPh sb="11" eb="12">
      <t>トウ</t>
    </rPh>
    <rPh sb="13" eb="14">
      <t>トウ</t>
    </rPh>
    <rPh sb="15" eb="16">
      <t>シ</t>
    </rPh>
    <rPh sb="17" eb="18">
      <t>キュウ</t>
    </rPh>
    <rPh sb="19" eb="20">
      <t>ジョウ</t>
    </rPh>
    <rPh sb="21" eb="22">
      <t>キョウ</t>
    </rPh>
    <phoneticPr fontId="3"/>
  </si>
  <si>
    <t>次ページ計</t>
    <rPh sb="0" eb="1">
      <t>ツギ</t>
    </rPh>
    <rPh sb="4" eb="5">
      <t>ケイ</t>
    </rPh>
    <phoneticPr fontId="3"/>
  </si>
  <si>
    <t>このページの計</t>
    <rPh sb="6" eb="7">
      <t>ケイ</t>
    </rPh>
    <phoneticPr fontId="3"/>
  </si>
  <si>
    <t>下石神井第三</t>
  </si>
  <si>
    <t>高野台</t>
  </si>
  <si>
    <t>＊</t>
    <phoneticPr fontId="3"/>
  </si>
  <si>
    <t>石神井町さくら</t>
  </si>
  <si>
    <t>石神井町つつじ</t>
  </si>
  <si>
    <t>石神井台第二</t>
  </si>
  <si>
    <t>石神井台</t>
  </si>
  <si>
    <t>上石神井第三</t>
  </si>
  <si>
    <t>上石神井第二</t>
  </si>
  <si>
    <t>上石神井</t>
  </si>
  <si>
    <t>南田中第二</t>
  </si>
  <si>
    <t>南田中</t>
  </si>
  <si>
    <t>富士見台こぶし</t>
  </si>
  <si>
    <t>谷原</t>
  </si>
  <si>
    <t>土支田</t>
  </si>
  <si>
    <t>高松</t>
  </si>
  <si>
    <t>旭町第二</t>
  </si>
  <si>
    <t>旭町</t>
  </si>
  <si>
    <t>光が丘第十一</t>
  </si>
  <si>
    <t>光が丘第十</t>
  </si>
  <si>
    <t>光が丘第九</t>
  </si>
  <si>
    <t>光が丘第八</t>
  </si>
  <si>
    <t>光が丘第七</t>
  </si>
  <si>
    <t>光が丘第六</t>
  </si>
  <si>
    <t>光が丘第五</t>
  </si>
  <si>
    <t>光が丘第四</t>
  </si>
  <si>
    <t>光が丘第三</t>
  </si>
  <si>
    <t>光が丘第二</t>
  </si>
  <si>
    <t>光が丘</t>
  </si>
  <si>
    <t>田柄第二</t>
  </si>
  <si>
    <t>田柄</t>
  </si>
  <si>
    <t>貫井第二</t>
  </si>
  <si>
    <t>貫井</t>
  </si>
  <si>
    <t>早宮</t>
  </si>
  <si>
    <t>春日町第三</t>
  </si>
  <si>
    <t>春日町第二</t>
  </si>
  <si>
    <t>春日町</t>
  </si>
  <si>
    <t>向山</t>
  </si>
  <si>
    <t>北町第二</t>
  </si>
  <si>
    <t>北町</t>
  </si>
  <si>
    <t>氷川台第二</t>
  </si>
  <si>
    <t>氷川台</t>
  </si>
  <si>
    <t>平和台</t>
  </si>
  <si>
    <t>栄町</t>
  </si>
  <si>
    <t>桜台第二</t>
  </si>
  <si>
    <t>桜台</t>
  </si>
  <si>
    <t>練馬</t>
  </si>
  <si>
    <t>豊玉第四</t>
  </si>
  <si>
    <t>豊玉第三</t>
  </si>
  <si>
    <t>豊玉第二</t>
  </si>
  <si>
    <t>豊玉</t>
  </si>
  <si>
    <t>保育士</t>
    <rPh sb="0" eb="3">
      <t>ホイクシ</t>
    </rPh>
    <phoneticPr fontId="3"/>
  </si>
  <si>
    <t>幼児</t>
    <rPh sb="0" eb="2">
      <t>ヨウジ</t>
    </rPh>
    <phoneticPr fontId="3"/>
  </si>
  <si>
    <t>乳児</t>
    <rPh sb="0" eb="2">
      <t>ニュウジ</t>
    </rPh>
    <phoneticPr fontId="3"/>
  </si>
  <si>
    <t>在籍児数</t>
    <rPh sb="0" eb="2">
      <t>ザイセキ</t>
    </rPh>
    <rPh sb="2" eb="3">
      <t>ジ</t>
    </rPh>
    <rPh sb="3" eb="4">
      <t>スウ</t>
    </rPh>
    <phoneticPr fontId="3"/>
  </si>
  <si>
    <t>保育園名</t>
    <rPh sb="0" eb="3">
      <t>ホイクエン</t>
    </rPh>
    <rPh sb="3" eb="4">
      <t>メイ</t>
    </rPh>
    <phoneticPr fontId="3"/>
  </si>
  <si>
    <t>(平成25年４月１日現在)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</si>
  <si>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(1)　区　　立　　保　　育　　園</t>
    <rPh sb="4" eb="5">
      <t>ク</t>
    </rPh>
    <rPh sb="7" eb="8">
      <t>タテ</t>
    </rPh>
    <rPh sb="10" eb="11">
      <t>タモツ</t>
    </rPh>
    <rPh sb="13" eb="14">
      <t>イク</t>
    </rPh>
    <rPh sb="16" eb="17">
      <t>エン</t>
    </rPh>
    <phoneticPr fontId="3"/>
  </si>
  <si>
    <t>表131　保育所別定員、在籍児数および職員数</t>
    <rPh sb="5" eb="7">
      <t>ホイク</t>
    </rPh>
    <rPh sb="7" eb="8">
      <t>ジョ</t>
    </rPh>
    <rPh sb="8" eb="9">
      <t>ベツ</t>
    </rPh>
    <rPh sb="9" eb="11">
      <t>テイイン</t>
    </rPh>
    <rPh sb="12" eb="14">
      <t>ザイセキ</t>
    </rPh>
    <rPh sb="14" eb="15">
      <t>ジ</t>
    </rPh>
    <rPh sb="15" eb="16">
      <t>スウ</t>
    </rPh>
    <rPh sb="19" eb="22">
      <t>ショクインスウ</t>
    </rPh>
    <phoneticPr fontId="3"/>
  </si>
  <si>
    <t>こども家庭部保育課</t>
    <rPh sb="3" eb="5">
      <t>カテイ</t>
    </rPh>
    <rPh sb="5" eb="6">
      <t>ブ</t>
    </rPh>
    <rPh sb="6" eb="8">
      <t>ホイク</t>
    </rPh>
    <rPh sb="8" eb="9">
      <t>カ</t>
    </rPh>
    <phoneticPr fontId="3"/>
  </si>
  <si>
    <t>「乳児」とは０～２歳児、「幼児」とは３～５歳児をいう。</t>
    <rPh sb="1" eb="3">
      <t>ニュウジ</t>
    </rPh>
    <rPh sb="9" eb="11">
      <t>サイジ</t>
    </rPh>
    <rPh sb="13" eb="15">
      <t>ヨウジ</t>
    </rPh>
    <rPh sb="21" eb="23">
      <t>サイジ</t>
    </rPh>
    <phoneticPr fontId="3"/>
  </si>
  <si>
    <t>「在籍児数」は、他区市町村からの受託児童を含む。</t>
    <rPh sb="1" eb="3">
      <t>ザイセキ</t>
    </rPh>
    <rPh sb="3" eb="4">
      <t>ジ</t>
    </rPh>
    <rPh sb="4" eb="5">
      <t>スウ</t>
    </rPh>
    <rPh sb="8" eb="9">
      <t>タ</t>
    </rPh>
    <rPh sb="9" eb="13">
      <t>クシチョウソン</t>
    </rPh>
    <rPh sb="16" eb="18">
      <t>ジュタク</t>
    </rPh>
    <rPh sb="18" eb="20">
      <t>ジドウ</t>
    </rPh>
    <rPh sb="21" eb="22">
      <t>フク</t>
    </rPh>
    <phoneticPr fontId="3"/>
  </si>
  <si>
    <t>そあ季の花保育園</t>
    <phoneticPr fontId="3"/>
  </si>
  <si>
    <t>ベネッセチャイルド
ケアセンター石神井公園</t>
    <rPh sb="16" eb="21">
      <t>シャクジイコウエン</t>
    </rPh>
    <phoneticPr fontId="3"/>
  </si>
  <si>
    <t>にじいろ保育園新桜台</t>
    <phoneticPr fontId="3"/>
  </si>
  <si>
    <t>風の子保育園</t>
    <phoneticPr fontId="3"/>
  </si>
  <si>
    <t>愛里武蔵関保育園</t>
    <phoneticPr fontId="3"/>
  </si>
  <si>
    <t>ベネッセチャイルドケアセンター氷川台</t>
    <rPh sb="15" eb="18">
      <t>ヒカワダイ</t>
    </rPh>
    <phoneticPr fontId="3"/>
  </si>
  <si>
    <t>春アンミッコ</t>
    <rPh sb="0" eb="1">
      <t>ハル</t>
    </rPh>
    <phoneticPr fontId="3"/>
  </si>
  <si>
    <t>茶々おおいずみ</t>
    <rPh sb="0" eb="2">
      <t>チャチャ</t>
    </rPh>
    <phoneticPr fontId="3"/>
  </si>
  <si>
    <t>南大泉にじのいろ</t>
    <rPh sb="0" eb="3">
      <t>ミナミオオイズミ</t>
    </rPh>
    <phoneticPr fontId="3"/>
  </si>
  <si>
    <t>ピジョンランド上石神井</t>
    <rPh sb="7" eb="11">
      <t>カミシャクジイ</t>
    </rPh>
    <phoneticPr fontId="3"/>
  </si>
  <si>
    <t>にじいろ保育園上石神井</t>
    <rPh sb="4" eb="7">
      <t>ホイクエン</t>
    </rPh>
    <rPh sb="7" eb="11">
      <t>カミシャクジイ</t>
    </rPh>
    <phoneticPr fontId="3"/>
  </si>
  <si>
    <t>Ｎｉｃｏｔ富士見台</t>
    <rPh sb="5" eb="9">
      <t>フジミダイ</t>
    </rPh>
    <phoneticPr fontId="3"/>
  </si>
  <si>
    <t>にじいろ保育園大泉学園</t>
    <rPh sb="4" eb="7">
      <t>ホイクエン</t>
    </rPh>
    <rPh sb="7" eb="9">
      <t>オオイズミ</t>
    </rPh>
    <rPh sb="9" eb="11">
      <t>ガクエン</t>
    </rPh>
    <phoneticPr fontId="3"/>
  </si>
  <si>
    <t>にじいろ保育園練馬中村</t>
    <rPh sb="4" eb="7">
      <t>ホイクエン</t>
    </rPh>
    <rPh sb="7" eb="9">
      <t>ネリマ</t>
    </rPh>
    <rPh sb="9" eb="11">
      <t>ナカムラ</t>
    </rPh>
    <phoneticPr fontId="3"/>
  </si>
  <si>
    <t>アンジェリカ桜台</t>
    <rPh sb="6" eb="8">
      <t>サクラダイ</t>
    </rPh>
    <phoneticPr fontId="3"/>
  </si>
  <si>
    <t>アスク豊玉中</t>
    <rPh sb="3" eb="5">
      <t>トヨタマ</t>
    </rPh>
    <rPh sb="5" eb="6">
      <t>ナカ</t>
    </rPh>
    <phoneticPr fontId="3"/>
  </si>
  <si>
    <t>アスク石神井まち</t>
    <phoneticPr fontId="3"/>
  </si>
  <si>
    <t>アスク石神井台</t>
  </si>
  <si>
    <t>エンゼルベア石神井</t>
  </si>
  <si>
    <t>なんこう</t>
  </si>
  <si>
    <t>ベネッセチャイルド
ケアセンター大泉学園</t>
  </si>
  <si>
    <t>アスク関町北</t>
  </si>
  <si>
    <t>どんぐり山</t>
  </si>
  <si>
    <t>大泉にじのいろ分園</t>
  </si>
  <si>
    <t>大泉にじのいろ</t>
  </si>
  <si>
    <t>道灌山</t>
  </si>
  <si>
    <t>マーガレット分園</t>
  </si>
  <si>
    <t>マーガレット</t>
  </si>
  <si>
    <t>妙福寺</t>
  </si>
  <si>
    <t>大泉</t>
  </si>
  <si>
    <t>くりのみ</t>
  </si>
  <si>
    <t>石神井</t>
  </si>
  <si>
    <t>青い鳥</t>
  </si>
  <si>
    <t>エンゼル</t>
  </si>
  <si>
    <t>最勝寺みのり</t>
  </si>
  <si>
    <t>平和</t>
  </si>
  <si>
    <t>練馬仲町</t>
  </si>
  <si>
    <t>神の教会分園</t>
  </si>
  <si>
    <t>神の教会</t>
  </si>
  <si>
    <t>練馬和光</t>
  </si>
  <si>
    <t>練馬二葉</t>
  </si>
  <si>
    <t>(2)　私　　立　　保　　育　　園</t>
    <rPh sb="4" eb="5">
      <t>ワタシ</t>
    </rPh>
    <rPh sb="7" eb="8">
      <t>タテ</t>
    </rPh>
    <rPh sb="10" eb="11">
      <t>タモツ</t>
    </rPh>
    <rPh sb="13" eb="14">
      <t>イク</t>
    </rPh>
    <rPh sb="16" eb="17">
      <t>エン</t>
    </rPh>
    <phoneticPr fontId="3"/>
  </si>
  <si>
    <t>：</t>
    <phoneticPr fontId="3"/>
  </si>
  <si>
    <t>＊印の保育園は、運営業務を社会福祉法人等に委託している。</t>
    <rPh sb="1" eb="2">
      <t>シルシ</t>
    </rPh>
    <rPh sb="3" eb="6">
      <t>ホイクエン</t>
    </rPh>
    <rPh sb="8" eb="10">
      <t>ウンエイ</t>
    </rPh>
    <rPh sb="10" eb="12">
      <t>ギョウム</t>
    </rPh>
    <rPh sb="13" eb="15">
      <t>シャカイ</t>
    </rPh>
    <rPh sb="15" eb="17">
      <t>フクシ</t>
    </rPh>
    <rPh sb="17" eb="19">
      <t>ホウジン</t>
    </rPh>
    <rPh sb="19" eb="20">
      <t>トウ</t>
    </rPh>
    <rPh sb="21" eb="23">
      <t>イタク</t>
    </rPh>
    <phoneticPr fontId="3"/>
  </si>
  <si>
    <t>大泉学園</t>
  </si>
  <si>
    <t>北大泉</t>
  </si>
  <si>
    <t>南大泉</t>
  </si>
  <si>
    <t>西大泉</t>
  </si>
  <si>
    <t>東大泉第三</t>
  </si>
  <si>
    <t>＊</t>
    <phoneticPr fontId="3"/>
  </si>
  <si>
    <t>東大泉第二</t>
  </si>
  <si>
    <t>東大泉</t>
  </si>
  <si>
    <t>関町第三</t>
  </si>
  <si>
    <t>関町第二</t>
  </si>
  <si>
    <t>関町</t>
  </si>
  <si>
    <t>(1)　区　　立　　保　　育　　園　　(つ　　づ　　き)</t>
    <rPh sb="4" eb="5">
      <t>ク</t>
    </rPh>
    <rPh sb="7" eb="8">
      <t>タテ</t>
    </rPh>
    <rPh sb="10" eb="11">
      <t>タモツ</t>
    </rPh>
    <rPh sb="13" eb="14">
      <t>イク</t>
    </rPh>
    <rPh sb="16" eb="17">
      <t>エン</t>
    </rPh>
    <phoneticPr fontId="3"/>
  </si>
  <si>
    <t>施設数、定員は各年度４月１日現在の数値である。受託児数は年度毎の延べ数であるため、最新年度は未計上である。</t>
    <rPh sb="0" eb="2">
      <t>シセツ</t>
    </rPh>
    <rPh sb="2" eb="3">
      <t>スウ</t>
    </rPh>
    <rPh sb="4" eb="6">
      <t>テイイン</t>
    </rPh>
    <rPh sb="7" eb="10">
      <t>カクネンド</t>
    </rPh>
    <rPh sb="11" eb="12">
      <t>ガツ</t>
    </rPh>
    <rPh sb="13" eb="14">
      <t>ニチ</t>
    </rPh>
    <rPh sb="14" eb="16">
      <t>ゲンザイ</t>
    </rPh>
    <rPh sb="17" eb="19">
      <t>スウチ</t>
    </rPh>
    <rPh sb="23" eb="25">
      <t>ジュタク</t>
    </rPh>
    <rPh sb="25" eb="26">
      <t>ジ</t>
    </rPh>
    <rPh sb="26" eb="27">
      <t>カズ</t>
    </rPh>
    <rPh sb="28" eb="30">
      <t>ネンド</t>
    </rPh>
    <rPh sb="30" eb="31">
      <t>ゴト</t>
    </rPh>
    <rPh sb="32" eb="33">
      <t>ノ</t>
    </rPh>
    <rPh sb="34" eb="35">
      <t>スウ</t>
    </rPh>
    <rPh sb="41" eb="43">
      <t>サイシン</t>
    </rPh>
    <rPh sb="43" eb="45">
      <t>ネンド</t>
    </rPh>
    <rPh sb="46" eb="49">
      <t>ミケイジョウ</t>
    </rPh>
    <phoneticPr fontId="3"/>
  </si>
  <si>
    <t>「受託児数」は他区市町村からの受託児童を含む。</t>
    <rPh sb="1" eb="3">
      <t>ジュタク</t>
    </rPh>
    <rPh sb="3" eb="4">
      <t>ジ</t>
    </rPh>
    <rPh sb="4" eb="5">
      <t>スウ</t>
    </rPh>
    <rPh sb="7" eb="8">
      <t>タ</t>
    </rPh>
    <rPh sb="8" eb="12">
      <t>クシチョウソン</t>
    </rPh>
    <rPh sb="15" eb="17">
      <t>ジュタク</t>
    </rPh>
    <rPh sb="17" eb="19">
      <t>ジドウ</t>
    </rPh>
    <rPh sb="20" eb="21">
      <t>フク</t>
    </rPh>
    <phoneticPr fontId="3"/>
  </si>
  <si>
    <t xml:space="preserve">… </t>
  </si>
  <si>
    <t>４歳以上</t>
    <rPh sb="1" eb="2">
      <t>サイ</t>
    </rPh>
    <rPh sb="2" eb="4">
      <t>イジョウ</t>
    </rPh>
    <phoneticPr fontId="3"/>
  </si>
  <si>
    <t>３歳</t>
    <rPh sb="1" eb="2">
      <t>サイ</t>
    </rPh>
    <phoneticPr fontId="3"/>
  </si>
  <si>
    <t>２歳</t>
    <rPh sb="1" eb="2">
      <t>サイ</t>
    </rPh>
    <phoneticPr fontId="3"/>
  </si>
  <si>
    <t>１歳</t>
    <rPh sb="1" eb="2">
      <t>サイ</t>
    </rPh>
    <phoneticPr fontId="3"/>
  </si>
  <si>
    <t>０歳</t>
    <rPh sb="1" eb="2">
      <t>サイ</t>
    </rPh>
    <phoneticPr fontId="3"/>
  </si>
  <si>
    <t>受託児数</t>
    <rPh sb="0" eb="2">
      <t>ジュタク</t>
    </rPh>
    <rPh sb="2" eb="3">
      <t>ジ</t>
    </rPh>
    <rPh sb="3" eb="4">
      <t>スウ</t>
    </rPh>
    <phoneticPr fontId="3"/>
  </si>
  <si>
    <t>表134　認証保育所数、定員および年齢別受託児数</t>
    <rPh sb="5" eb="7">
      <t>ニンショウ</t>
    </rPh>
    <rPh sb="7" eb="9">
      <t>ホイク</t>
    </rPh>
    <rPh sb="9" eb="10">
      <t>ジョ</t>
    </rPh>
    <rPh sb="10" eb="11">
      <t>スウ</t>
    </rPh>
    <rPh sb="12" eb="14">
      <t>テイイン</t>
    </rPh>
    <rPh sb="17" eb="19">
      <t>ネンレイ</t>
    </rPh>
    <rPh sb="19" eb="20">
      <t>ベツ</t>
    </rPh>
    <rPh sb="20" eb="22">
      <t>ジュタク</t>
    </rPh>
    <rPh sb="22" eb="23">
      <t>ジ</t>
    </rPh>
    <rPh sb="23" eb="24">
      <t>スウ</t>
    </rPh>
    <phoneticPr fontId="3"/>
  </si>
  <si>
    <t>施設数、定員は各年度４月１日現在の数値である。在籍児数は年度毎の延べ数であるため、最新年度は未計上である。</t>
    <rPh sb="0" eb="2">
      <t>シセツ</t>
    </rPh>
    <rPh sb="2" eb="3">
      <t>スウ</t>
    </rPh>
    <rPh sb="4" eb="6">
      <t>テイイン</t>
    </rPh>
    <rPh sb="7" eb="10">
      <t>カクネンド</t>
    </rPh>
    <rPh sb="11" eb="12">
      <t>ガツ</t>
    </rPh>
    <rPh sb="13" eb="14">
      <t>ニチ</t>
    </rPh>
    <rPh sb="14" eb="16">
      <t>ゲンザイ</t>
    </rPh>
    <rPh sb="17" eb="19">
      <t>スウチ</t>
    </rPh>
    <rPh sb="23" eb="25">
      <t>ザイセキ</t>
    </rPh>
    <rPh sb="25" eb="26">
      <t>ジ</t>
    </rPh>
    <rPh sb="26" eb="27">
      <t>カズ</t>
    </rPh>
    <rPh sb="28" eb="30">
      <t>ネンド</t>
    </rPh>
    <rPh sb="30" eb="31">
      <t>ゴト</t>
    </rPh>
    <rPh sb="32" eb="33">
      <t>ノ</t>
    </rPh>
    <rPh sb="34" eb="35">
      <t>スウ</t>
    </rPh>
    <rPh sb="41" eb="43">
      <t>サイシン</t>
    </rPh>
    <rPh sb="43" eb="45">
      <t>ネンド</t>
    </rPh>
    <rPh sb="46" eb="49">
      <t>ミケイジョウ</t>
    </rPh>
    <phoneticPr fontId="3"/>
  </si>
  <si>
    <t>「在籍児数」は平成23年度までは他区市町村からの受託児童を含む。</t>
    <rPh sb="1" eb="3">
      <t>ザイセキ</t>
    </rPh>
    <rPh sb="3" eb="4">
      <t>ジ</t>
    </rPh>
    <rPh sb="4" eb="5">
      <t>スウ</t>
    </rPh>
    <rPh sb="7" eb="9">
      <t>ヘイセイ</t>
    </rPh>
    <rPh sb="11" eb="13">
      <t>ネンド</t>
    </rPh>
    <rPh sb="16" eb="17">
      <t>タ</t>
    </rPh>
    <rPh sb="17" eb="21">
      <t>クシチョウソン</t>
    </rPh>
    <rPh sb="24" eb="26">
      <t>ジュタク</t>
    </rPh>
    <rPh sb="26" eb="28">
      <t>ジドウ</t>
    </rPh>
    <rPh sb="29" eb="30">
      <t>フク</t>
    </rPh>
    <phoneticPr fontId="3"/>
  </si>
  <si>
    <t>表133　保育室施設数、定員および年齢別在籍児数</t>
    <rPh sb="5" eb="8">
      <t>ホイクシツ</t>
    </rPh>
    <rPh sb="8" eb="10">
      <t>シセツ</t>
    </rPh>
    <rPh sb="10" eb="11">
      <t>スウ</t>
    </rPh>
    <rPh sb="12" eb="14">
      <t>テイイン</t>
    </rPh>
    <rPh sb="17" eb="19">
      <t>ネンレイ</t>
    </rPh>
    <rPh sb="19" eb="20">
      <t>ベツ</t>
    </rPh>
    <rPh sb="20" eb="22">
      <t>ザイセキ</t>
    </rPh>
    <rPh sb="22" eb="23">
      <t>ジ</t>
    </rPh>
    <rPh sb="23" eb="24">
      <t>スウ</t>
    </rPh>
    <phoneticPr fontId="3"/>
  </si>
  <si>
    <t>私立保育園の一部で３～５歳ごとの定員を定めていないため、合算の数値を表示した。</t>
    <rPh sb="0" eb="2">
      <t>シリツ</t>
    </rPh>
    <rPh sb="2" eb="5">
      <t>ホイクエン</t>
    </rPh>
    <rPh sb="6" eb="8">
      <t>イチブ</t>
    </rPh>
    <rPh sb="12" eb="13">
      <t>サイ</t>
    </rPh>
    <rPh sb="16" eb="18">
      <t>テイイン</t>
    </rPh>
    <rPh sb="19" eb="20">
      <t>サダ</t>
    </rPh>
    <rPh sb="28" eb="30">
      <t>ガッサン</t>
    </rPh>
    <rPh sb="31" eb="33">
      <t>スウチ</t>
    </rPh>
    <rPh sb="34" eb="36">
      <t>ヒョウジ</t>
    </rPh>
    <phoneticPr fontId="3"/>
  </si>
  <si>
    <t>５</t>
    <phoneticPr fontId="3"/>
  </si>
  <si>
    <t>４</t>
    <phoneticPr fontId="3"/>
  </si>
  <si>
    <t>３</t>
    <phoneticPr fontId="3"/>
  </si>
  <si>
    <t>２</t>
    <phoneticPr fontId="3"/>
  </si>
  <si>
    <t>１</t>
    <phoneticPr fontId="3"/>
  </si>
  <si>
    <t>歳</t>
    <rPh sb="0" eb="1">
      <t>サイ</t>
    </rPh>
    <phoneticPr fontId="3"/>
  </si>
  <si>
    <t>０</t>
    <phoneticPr fontId="3"/>
  </si>
  <si>
    <t>私立</t>
    <rPh sb="0" eb="2">
      <t>シリツ</t>
    </rPh>
    <phoneticPr fontId="3"/>
  </si>
  <si>
    <t>区立</t>
    <rPh sb="0" eb="2">
      <t>クリツ</t>
    </rPh>
    <phoneticPr fontId="3"/>
  </si>
  <si>
    <t>待機児数</t>
    <rPh sb="0" eb="2">
      <t>タイキ</t>
    </rPh>
    <rPh sb="2" eb="3">
      <t>ジ</t>
    </rPh>
    <rPh sb="3" eb="4">
      <t>スウ</t>
    </rPh>
    <phoneticPr fontId="3"/>
  </si>
  <si>
    <t>年および年齢</t>
    <rPh sb="0" eb="1">
      <t>トシ</t>
    </rPh>
    <rPh sb="4" eb="6">
      <t>ネンレイ</t>
    </rPh>
    <phoneticPr fontId="3"/>
  </si>
  <si>
    <t>(各年４月１日現在)</t>
    <rPh sb="1" eb="2">
      <t>カク</t>
    </rPh>
    <rPh sb="2" eb="3">
      <t>トシ</t>
    </rPh>
    <rPh sb="3" eb="4">
      <t>ヘイネン</t>
    </rPh>
    <rPh sb="4" eb="5">
      <t>ガツ</t>
    </rPh>
    <rPh sb="6" eb="7">
      <t>ニチ</t>
    </rPh>
    <rPh sb="7" eb="9">
      <t>ゲンザイ</t>
    </rPh>
    <phoneticPr fontId="3"/>
  </si>
  <si>
    <t>表132　児童年齢別保育所定員、在籍児数および待機児数</t>
    <rPh sb="5" eb="7">
      <t>ジドウ</t>
    </rPh>
    <rPh sb="7" eb="9">
      <t>ネンレイ</t>
    </rPh>
    <rPh sb="9" eb="10">
      <t>ベツ</t>
    </rPh>
    <rPh sb="10" eb="12">
      <t>ホイク</t>
    </rPh>
    <rPh sb="12" eb="13">
      <t>ジョ</t>
    </rPh>
    <rPh sb="13" eb="15">
      <t>テイイン</t>
    </rPh>
    <rPh sb="16" eb="18">
      <t>ザイセキ</t>
    </rPh>
    <rPh sb="18" eb="19">
      <t>ジ</t>
    </rPh>
    <rPh sb="19" eb="20">
      <t>スウ</t>
    </rPh>
    <rPh sb="23" eb="25">
      <t>タイキ</t>
    </rPh>
    <rPh sb="25" eb="26">
      <t>ジ</t>
    </rPh>
    <rPh sb="26" eb="27">
      <t>スウ</t>
    </rPh>
    <phoneticPr fontId="3"/>
  </si>
  <si>
    <t>平成22年度より、グループ保育室８室のうち１室は、区が指定した団体に運営を委託している。</t>
    <rPh sb="0" eb="2">
      <t>ヘイセイ</t>
    </rPh>
    <rPh sb="4" eb="6">
      <t>ネンド</t>
    </rPh>
    <rPh sb="13" eb="15">
      <t>ホイク</t>
    </rPh>
    <rPh sb="15" eb="16">
      <t>シツ</t>
    </rPh>
    <rPh sb="17" eb="18">
      <t>シツ</t>
    </rPh>
    <rPh sb="22" eb="23">
      <t>シツ</t>
    </rPh>
    <rPh sb="25" eb="26">
      <t>ク</t>
    </rPh>
    <rPh sb="27" eb="29">
      <t>シテイ</t>
    </rPh>
    <rPh sb="31" eb="33">
      <t>ダンタイ</t>
    </rPh>
    <rPh sb="34" eb="36">
      <t>ウンエイ</t>
    </rPh>
    <rPh sb="37" eb="39">
      <t>イタク</t>
    </rPh>
    <phoneticPr fontId="3"/>
  </si>
  <si>
    <t>受託児数は、年度毎の延べ数であるため、最新年度については未計上である。</t>
    <rPh sb="0" eb="2">
      <t>ジュタク</t>
    </rPh>
    <rPh sb="2" eb="3">
      <t>ジ</t>
    </rPh>
    <rPh sb="3" eb="4">
      <t>スウ</t>
    </rPh>
    <rPh sb="6" eb="8">
      <t>ネンド</t>
    </rPh>
    <rPh sb="8" eb="9">
      <t>ゴト</t>
    </rPh>
    <rPh sb="10" eb="11">
      <t>ノ</t>
    </rPh>
    <rPh sb="12" eb="13">
      <t>スウ</t>
    </rPh>
    <rPh sb="19" eb="21">
      <t>サイシン</t>
    </rPh>
    <rPh sb="21" eb="23">
      <t>ネンド</t>
    </rPh>
    <rPh sb="28" eb="31">
      <t>ミケイジョウ</t>
    </rPh>
    <phoneticPr fontId="3"/>
  </si>
  <si>
    <t>グループ保育室数、福祉員数、定員は、各年度４月１日現在の数値である。</t>
    <rPh sb="4" eb="7">
      <t>ホイクシツ</t>
    </rPh>
    <rPh sb="7" eb="8">
      <t>スウ</t>
    </rPh>
    <rPh sb="9" eb="11">
      <t>フクシ</t>
    </rPh>
    <rPh sb="11" eb="12">
      <t>イン</t>
    </rPh>
    <rPh sb="12" eb="13">
      <t>スウ</t>
    </rPh>
    <rPh sb="14" eb="16">
      <t>テイイン</t>
    </rPh>
    <rPh sb="18" eb="21">
      <t>カクネンド</t>
    </rPh>
    <rPh sb="22" eb="23">
      <t>ガツ</t>
    </rPh>
    <rPh sb="24" eb="25">
      <t>ニチ</t>
    </rPh>
    <rPh sb="25" eb="27">
      <t>ゲンザイ</t>
    </rPh>
    <rPh sb="28" eb="30">
      <t>スウチ</t>
    </rPh>
    <phoneticPr fontId="3"/>
  </si>
  <si>
    <t xml:space="preserve">… </t>
    <phoneticPr fontId="3"/>
  </si>
  <si>
    <t>福祉員数</t>
    <rPh sb="0" eb="2">
      <t>フクシ</t>
    </rPh>
    <rPh sb="2" eb="3">
      <t>イン</t>
    </rPh>
    <rPh sb="3" eb="4">
      <t>スウ</t>
    </rPh>
    <phoneticPr fontId="3"/>
  </si>
  <si>
    <t>グループ
保育室数</t>
    <rPh sb="5" eb="8">
      <t>ホイクシツ</t>
    </rPh>
    <rPh sb="8" eb="9">
      <t>スウ</t>
    </rPh>
    <phoneticPr fontId="3"/>
  </si>
  <si>
    <t>表136　駅型グループ保育室数、定員および年齢別受託児数</t>
    <rPh sb="5" eb="7">
      <t>エキガタ</t>
    </rPh>
    <rPh sb="11" eb="14">
      <t>ホイクシツ</t>
    </rPh>
    <rPh sb="14" eb="15">
      <t>スウ</t>
    </rPh>
    <rPh sb="16" eb="18">
      <t>テイイン</t>
    </rPh>
    <rPh sb="21" eb="23">
      <t>ネンレイ</t>
    </rPh>
    <rPh sb="23" eb="24">
      <t>ベツ</t>
    </rPh>
    <rPh sb="24" eb="26">
      <t>ジュタク</t>
    </rPh>
    <rPh sb="26" eb="27">
      <t>ジ</t>
    </rPh>
    <rPh sb="27" eb="28">
      <t>スウ</t>
    </rPh>
    <phoneticPr fontId="3"/>
  </si>
  <si>
    <t>福祉員数、定員は各年度４月１日現在の数値である。受託児数は年度毎の延べ数であるため、最新年度は未計上である。</t>
    <rPh sb="0" eb="2">
      <t>フクシ</t>
    </rPh>
    <rPh sb="2" eb="3">
      <t>イン</t>
    </rPh>
    <rPh sb="3" eb="4">
      <t>スウ</t>
    </rPh>
    <rPh sb="5" eb="7">
      <t>テイイン</t>
    </rPh>
    <rPh sb="8" eb="11">
      <t>カクネンド</t>
    </rPh>
    <rPh sb="12" eb="13">
      <t>ガツ</t>
    </rPh>
    <rPh sb="14" eb="15">
      <t>ニチ</t>
    </rPh>
    <rPh sb="15" eb="17">
      <t>ゲンザイ</t>
    </rPh>
    <rPh sb="18" eb="20">
      <t>スウチ</t>
    </rPh>
    <rPh sb="24" eb="26">
      <t>ジュタク</t>
    </rPh>
    <rPh sb="26" eb="27">
      <t>ジ</t>
    </rPh>
    <rPh sb="27" eb="28">
      <t>スウ</t>
    </rPh>
    <rPh sb="29" eb="31">
      <t>ネンド</t>
    </rPh>
    <rPh sb="31" eb="32">
      <t>ゴト</t>
    </rPh>
    <rPh sb="33" eb="34">
      <t>ノ</t>
    </rPh>
    <rPh sb="35" eb="36">
      <t>スウ</t>
    </rPh>
    <rPh sb="42" eb="44">
      <t>サイシン</t>
    </rPh>
    <rPh sb="44" eb="46">
      <t>ネンド</t>
    </rPh>
    <rPh sb="47" eb="50">
      <t>ミケイジョウ</t>
    </rPh>
    <phoneticPr fontId="3"/>
  </si>
  <si>
    <t>表135　家庭福祉員(保育ママ)数、定員および年齢別受託児数</t>
    <rPh sb="5" eb="7">
      <t>カテイ</t>
    </rPh>
    <rPh sb="7" eb="9">
      <t>フクシ</t>
    </rPh>
    <rPh sb="9" eb="10">
      <t>イン</t>
    </rPh>
    <rPh sb="11" eb="13">
      <t>ホイク</t>
    </rPh>
    <rPh sb="16" eb="17">
      <t>スウ</t>
    </rPh>
    <rPh sb="18" eb="20">
      <t>テイイン</t>
    </rPh>
    <rPh sb="23" eb="25">
      <t>ネンレイ</t>
    </rPh>
    <rPh sb="25" eb="26">
      <t>ベツ</t>
    </rPh>
    <rPh sb="26" eb="28">
      <t>ジュタク</t>
    </rPh>
    <rPh sb="28" eb="29">
      <t>ジ</t>
    </rPh>
    <rPh sb="29" eb="30">
      <t>スウ</t>
    </rPh>
    <phoneticPr fontId="3"/>
  </si>
  <si>
    <t>東京都総務局統計部人口統計課「学校基本調査報告」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ジンコウ</t>
    </rPh>
    <rPh sb="11" eb="13">
      <t>トウケイ</t>
    </rPh>
    <rPh sb="13" eb="14">
      <t>カ</t>
    </rPh>
    <rPh sb="15" eb="17">
      <t>ガッコウ</t>
    </rPh>
    <rPh sb="17" eb="19">
      <t>キホン</t>
    </rPh>
    <rPh sb="19" eb="21">
      <t>チョウサ</t>
    </rPh>
    <rPh sb="21" eb="23">
      <t>ホウコク</t>
    </rPh>
    <phoneticPr fontId="3"/>
  </si>
  <si>
    <t>教員は本務者のみであり、教育補助員は含まない。</t>
    <rPh sb="0" eb="2">
      <t>キョウイン</t>
    </rPh>
    <rPh sb="3" eb="4">
      <t>ホン</t>
    </rPh>
    <rPh sb="4" eb="5">
      <t>ム</t>
    </rPh>
    <rPh sb="5" eb="6">
      <t>シャ</t>
    </rPh>
    <rPh sb="12" eb="14">
      <t>キョウイク</t>
    </rPh>
    <rPh sb="14" eb="17">
      <t>ホジョイン</t>
    </rPh>
    <rPh sb="18" eb="19">
      <t>フク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</si>
  <si>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</si>
  <si>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</si>
  <si>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公立</t>
    <rPh sb="0" eb="2">
      <t>コウリツ</t>
    </rPh>
    <phoneticPr fontId="3"/>
  </si>
  <si>
    <t>教　　員
１人当り
園 児 数</t>
    <rPh sb="0" eb="1">
      <t>キョウ</t>
    </rPh>
    <rPh sb="3" eb="4">
      <t>イン</t>
    </rPh>
    <rPh sb="6" eb="7">
      <t>ニン</t>
    </rPh>
    <rPh sb="7" eb="8">
      <t>アタ</t>
    </rPh>
    <rPh sb="10" eb="11">
      <t>エン</t>
    </rPh>
    <rPh sb="12" eb="13">
      <t>ジ</t>
    </rPh>
    <rPh sb="14" eb="15">
      <t>スウ</t>
    </rPh>
    <phoneticPr fontId="3"/>
  </si>
  <si>
    <t>５歳児</t>
    <rPh sb="1" eb="2">
      <t>サイ</t>
    </rPh>
    <rPh sb="2" eb="3">
      <t>ジ</t>
    </rPh>
    <phoneticPr fontId="3"/>
  </si>
  <si>
    <t>４歳児</t>
    <rPh sb="1" eb="2">
      <t>サイ</t>
    </rPh>
    <rPh sb="2" eb="3">
      <t>ジ</t>
    </rPh>
    <phoneticPr fontId="3"/>
  </si>
  <si>
    <t>３歳児</t>
    <rPh sb="1" eb="2">
      <t>サイ</t>
    </rPh>
    <rPh sb="2" eb="3">
      <t>ジ</t>
    </rPh>
    <phoneticPr fontId="3"/>
  </si>
  <si>
    <t>在園者数</t>
    <rPh sb="0" eb="2">
      <t>ザイエン</t>
    </rPh>
    <rPh sb="2" eb="3">
      <t>シャ</t>
    </rPh>
    <rPh sb="3" eb="4">
      <t>スウ</t>
    </rPh>
    <phoneticPr fontId="3"/>
  </si>
  <si>
    <t>教員数</t>
    <rPh sb="0" eb="2">
      <t>キョウイン</t>
    </rPh>
    <rPh sb="2" eb="3">
      <t>スウ</t>
    </rPh>
    <phoneticPr fontId="3"/>
  </si>
  <si>
    <t>学級数</t>
    <rPh sb="0" eb="2">
      <t>ガッキュウ</t>
    </rPh>
    <rPh sb="2" eb="3">
      <t>スウ</t>
    </rPh>
    <phoneticPr fontId="3"/>
  </si>
  <si>
    <t>園数</t>
    <rPh sb="0" eb="1">
      <t>エン</t>
    </rPh>
    <rPh sb="1" eb="2">
      <t>スウ</t>
    </rPh>
    <phoneticPr fontId="3"/>
  </si>
  <si>
    <t>(各年５月１日現在)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</si>
  <si>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表138　幼稚園数、学級数、教員数および在園者数の推移</t>
    <rPh sb="5" eb="8">
      <t>ヨウチエン</t>
    </rPh>
    <rPh sb="8" eb="9">
      <t>スウ</t>
    </rPh>
    <rPh sb="10" eb="12">
      <t>ガッキュウ</t>
    </rPh>
    <rPh sb="12" eb="13">
      <t>スウ</t>
    </rPh>
    <rPh sb="14" eb="16">
      <t>キョウイン</t>
    </rPh>
    <rPh sb="16" eb="17">
      <t>スウ</t>
    </rPh>
    <rPh sb="20" eb="22">
      <t>ザイエン</t>
    </rPh>
    <rPh sb="22" eb="23">
      <t>シャ</t>
    </rPh>
    <rPh sb="23" eb="24">
      <t>スウ</t>
    </rPh>
    <rPh sb="25" eb="27">
      <t>スイイ</t>
    </rPh>
    <phoneticPr fontId="3"/>
  </si>
  <si>
    <t>東京都総務局統計部人口統計課「平成24年度　学校基本調査報告」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ジンコウ</t>
    </rPh>
    <rPh sb="11" eb="13">
      <t>トウケイ</t>
    </rPh>
    <rPh sb="13" eb="14">
      <t>カ</t>
    </rPh>
    <rPh sb="15" eb="17">
      <t>ヘイセイ</t>
    </rPh>
    <rPh sb="19" eb="20">
      <t>ネン</t>
    </rPh>
    <rPh sb="20" eb="21">
      <t>ド</t>
    </rPh>
    <rPh sb="22" eb="24">
      <t>ガッコウ</t>
    </rPh>
    <rPh sb="24" eb="26">
      <t>キホン</t>
    </rPh>
    <rPh sb="26" eb="28">
      <t>チョウサ</t>
    </rPh>
    <rPh sb="28" eb="30">
      <t>ホウコク</t>
    </rPh>
    <phoneticPr fontId="3"/>
  </si>
  <si>
    <t>大学の数値は大学院を含む。</t>
    <rPh sb="0" eb="2">
      <t>ダイガク</t>
    </rPh>
    <rPh sb="3" eb="5">
      <t>スウチ</t>
    </rPh>
    <rPh sb="6" eb="9">
      <t>ダイガクイン</t>
    </rPh>
    <rPh sb="10" eb="11">
      <t>フク</t>
    </rPh>
    <phoneticPr fontId="3"/>
  </si>
  <si>
    <t>大学の学校数、学生数、教員数(本務者・兼務者)は大学本部が所在する地域に計上した。</t>
    <rPh sb="0" eb="2">
      <t>ダイガク</t>
    </rPh>
    <rPh sb="3" eb="5">
      <t>ガッコウ</t>
    </rPh>
    <rPh sb="5" eb="6">
      <t>スウ</t>
    </rPh>
    <rPh sb="7" eb="10">
      <t>ガクセイスウ</t>
    </rPh>
    <rPh sb="11" eb="13">
      <t>キョウイン</t>
    </rPh>
    <rPh sb="13" eb="14">
      <t>スウ</t>
    </rPh>
    <rPh sb="15" eb="16">
      <t>ホン</t>
    </rPh>
    <rPh sb="16" eb="17">
      <t>ム</t>
    </rPh>
    <rPh sb="17" eb="18">
      <t>シャ</t>
    </rPh>
    <rPh sb="19" eb="21">
      <t>ケンム</t>
    </rPh>
    <rPh sb="21" eb="22">
      <t>シャ</t>
    </rPh>
    <rPh sb="24" eb="26">
      <t>ダイガク</t>
    </rPh>
    <rPh sb="26" eb="28">
      <t>ホンブ</t>
    </rPh>
    <rPh sb="29" eb="31">
      <t>ショザイ</t>
    </rPh>
    <rPh sb="33" eb="35">
      <t>チイキ</t>
    </rPh>
    <rPh sb="36" eb="38">
      <t>ケイジョウ</t>
    </rPh>
    <phoneticPr fontId="3"/>
  </si>
  <si>
    <t>高等学校の生徒数は定時制を含む。</t>
    <rPh sb="0" eb="2">
      <t>コウトウ</t>
    </rPh>
    <rPh sb="2" eb="4">
      <t>ガッコウ</t>
    </rPh>
    <rPh sb="5" eb="8">
      <t>セイトスウ</t>
    </rPh>
    <rPh sb="9" eb="12">
      <t>テイジセイ</t>
    </rPh>
    <rPh sb="13" eb="14">
      <t>フク</t>
    </rPh>
    <phoneticPr fontId="3"/>
  </si>
  <si>
    <t>：</t>
    <phoneticPr fontId="3"/>
  </si>
  <si>
    <t>各種学校</t>
    <rPh sb="0" eb="2">
      <t>カクシュ</t>
    </rPh>
    <rPh sb="2" eb="4">
      <t>ガッコウ</t>
    </rPh>
    <phoneticPr fontId="3"/>
  </si>
  <si>
    <t xml:space="preserve">… </t>
    <phoneticPr fontId="3"/>
  </si>
  <si>
    <t>専修学校</t>
    <rPh sb="0" eb="2">
      <t>センシュウ</t>
    </rPh>
    <rPh sb="2" eb="4">
      <t>ガッコウ</t>
    </rPh>
    <phoneticPr fontId="3"/>
  </si>
  <si>
    <t>幼稚園</t>
    <rPh sb="0" eb="3">
      <t>ヨウチエン</t>
    </rPh>
    <phoneticPr fontId="3"/>
  </si>
  <si>
    <t>大学</t>
    <rPh sb="0" eb="2">
      <t>ダイガク</t>
    </rPh>
    <phoneticPr fontId="3"/>
  </si>
  <si>
    <t>短期大学</t>
    <rPh sb="0" eb="2">
      <t>タンキ</t>
    </rPh>
    <rPh sb="2" eb="4">
      <t>ダイガク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</si>
  <si>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</si>
  <si>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国立</t>
    <rPh sb="0" eb="2">
      <t>コクリツ</t>
    </rPh>
    <phoneticPr fontId="3"/>
  </si>
  <si>
    <t>中等教育学校</t>
    <rPh sb="0" eb="2">
      <t>チュウトウ</t>
    </rPh>
    <rPh sb="2" eb="4">
      <t>キョウイク</t>
    </rPh>
    <rPh sb="4" eb="6">
      <t>ガッコウ</t>
    </rPh>
    <phoneticPr fontId="3"/>
  </si>
  <si>
    <t>高等学校</t>
    <rPh sb="0" eb="2">
      <t>コウトウ</t>
    </rPh>
    <rPh sb="2" eb="4">
      <t>ガッコウ</t>
    </rPh>
    <phoneticPr fontId="3"/>
  </si>
  <si>
    <t>中学校</t>
    <rPh sb="0" eb="3">
      <t>チュウガッコウ</t>
    </rPh>
    <phoneticPr fontId="3"/>
  </si>
  <si>
    <t>小学校</t>
    <rPh sb="0" eb="3">
      <t>ショウガッコウ</t>
    </rPh>
    <phoneticPr fontId="3"/>
  </si>
  <si>
    <t>兼務者</t>
    <rPh sb="0" eb="2">
      <t>ケンム</t>
    </rPh>
    <rPh sb="2" eb="3">
      <t>シャ</t>
    </rPh>
    <phoneticPr fontId="3"/>
  </si>
  <si>
    <t>本務者</t>
    <rPh sb="0" eb="1">
      <t>ホン</t>
    </rPh>
    <rPh sb="1" eb="2">
      <t>ム</t>
    </rPh>
    <rPh sb="2" eb="3">
      <t>シャ</t>
    </rPh>
    <phoneticPr fontId="3"/>
  </si>
  <si>
    <t>在学者数</t>
    <rPh sb="0" eb="2">
      <t>ザイガク</t>
    </rPh>
    <rPh sb="2" eb="3">
      <t>シャ</t>
    </rPh>
    <rPh sb="3" eb="4">
      <t>スウ</t>
    </rPh>
    <phoneticPr fontId="3"/>
  </si>
  <si>
    <t>学校数</t>
    <rPh sb="0" eb="2">
      <t>ガッコウ</t>
    </rPh>
    <rPh sb="2" eb="3">
      <t>スウ</t>
    </rPh>
    <phoneticPr fontId="3"/>
  </si>
  <si>
    <t>区分</t>
    <rPh sb="0" eb="2">
      <t>クブン</t>
    </rPh>
    <phoneticPr fontId="3"/>
  </si>
  <si>
    <t>(平成24年５月１日現在)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</si>
  <si>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表137　学 校 数 、 教 員 数 お よ び 在 学 者 数</t>
    <rPh sb="5" eb="6">
      <t>ガク</t>
    </rPh>
    <rPh sb="7" eb="8">
      <t>コウ</t>
    </rPh>
    <rPh sb="9" eb="10">
      <t>スウ</t>
    </rPh>
    <rPh sb="13" eb="14">
      <t>キョウ</t>
    </rPh>
    <rPh sb="15" eb="16">
      <t>イン</t>
    </rPh>
    <rPh sb="17" eb="18">
      <t>スウ</t>
    </rPh>
    <rPh sb="25" eb="26">
      <t>ザイ</t>
    </rPh>
    <rPh sb="27" eb="28">
      <t>ガク</t>
    </rPh>
    <rPh sb="29" eb="30">
      <t>シャ</t>
    </rPh>
    <rPh sb="31" eb="32">
      <t>スウ</t>
    </rPh>
    <phoneticPr fontId="3"/>
  </si>
  <si>
    <t>教育委員会教育振興部学務課、教育指導課</t>
    <rPh sb="0" eb="2">
      <t>キョウイク</t>
    </rPh>
    <rPh sb="2" eb="4">
      <t>イイン</t>
    </rPh>
    <rPh sb="4" eb="5">
      <t>カイ</t>
    </rPh>
    <rPh sb="5" eb="7">
      <t>キョウイク</t>
    </rPh>
    <rPh sb="7" eb="9">
      <t>シンコウ</t>
    </rPh>
    <rPh sb="9" eb="10">
      <t>ブ</t>
    </rPh>
    <rPh sb="10" eb="13">
      <t>ガクムカ</t>
    </rPh>
    <rPh sb="14" eb="16">
      <t>キョウイク</t>
    </rPh>
    <rPh sb="16" eb="18">
      <t>シドウ</t>
    </rPh>
    <rPh sb="18" eb="19">
      <t>カ</t>
    </rPh>
    <phoneticPr fontId="3"/>
  </si>
  <si>
    <t>：</t>
    <phoneticPr fontId="3"/>
  </si>
  <si>
    <t>小中一貫教育校を含む。</t>
    <rPh sb="0" eb="1">
      <t>ショウ</t>
    </rPh>
    <rPh sb="1" eb="2">
      <t>チュウ</t>
    </rPh>
    <rPh sb="2" eb="4">
      <t>イッカン</t>
    </rPh>
    <rPh sb="4" eb="6">
      <t>キョウイク</t>
    </rPh>
    <rPh sb="6" eb="7">
      <t>コウ</t>
    </rPh>
    <rPh sb="8" eb="9">
      <t>フク</t>
    </rPh>
    <phoneticPr fontId="3"/>
  </si>
  <si>
    <t>３学年</t>
    <rPh sb="1" eb="3">
      <t>ガクネン</t>
    </rPh>
    <phoneticPr fontId="3"/>
  </si>
  <si>
    <t>２学年</t>
    <rPh sb="1" eb="3">
      <t>ガクネン</t>
    </rPh>
    <phoneticPr fontId="3"/>
  </si>
  <si>
    <t>１学年</t>
    <rPh sb="1" eb="3">
      <t>ガクネン</t>
    </rPh>
    <phoneticPr fontId="3"/>
  </si>
  <si>
    <t>教 員 １ 人
当り生徒数</t>
    <rPh sb="0" eb="1">
      <t>キョウ</t>
    </rPh>
    <rPh sb="2" eb="3">
      <t>イン</t>
    </rPh>
    <rPh sb="4" eb="6">
      <t>ヒトリ</t>
    </rPh>
    <rPh sb="6" eb="7">
      <t>ニン</t>
    </rPh>
    <rPh sb="8" eb="9">
      <t>アタ</t>
    </rPh>
    <rPh sb="10" eb="13">
      <t>セイトスウ</t>
    </rPh>
    <phoneticPr fontId="3"/>
  </si>
  <si>
    <t>生徒数</t>
    <rPh sb="0" eb="3">
      <t>セイトスウ</t>
    </rPh>
    <phoneticPr fontId="3"/>
  </si>
  <si>
    <t>表140　区立中学校数、学級数、教員数および生徒数の推移</t>
    <rPh sb="5" eb="7">
      <t>クリツ</t>
    </rPh>
    <rPh sb="7" eb="10">
      <t>チュウガッコウ</t>
    </rPh>
    <rPh sb="10" eb="11">
      <t>スウ</t>
    </rPh>
    <rPh sb="12" eb="14">
      <t>ガッキュウ</t>
    </rPh>
    <rPh sb="14" eb="15">
      <t>スウ</t>
    </rPh>
    <rPh sb="16" eb="18">
      <t>キョウイン</t>
    </rPh>
    <rPh sb="18" eb="19">
      <t>スウ</t>
    </rPh>
    <rPh sb="22" eb="25">
      <t>セイトスウ</t>
    </rPh>
    <rPh sb="26" eb="28">
      <t>スイイ</t>
    </rPh>
    <phoneticPr fontId="3"/>
  </si>
  <si>
    <t>平成22年４月に光が丘地区の小学校８校を４校に統合・再編した。</t>
    <rPh sb="0" eb="2">
      <t>ヘイセイ</t>
    </rPh>
    <rPh sb="4" eb="5">
      <t>ネン</t>
    </rPh>
    <rPh sb="6" eb="7">
      <t>ガツ</t>
    </rPh>
    <rPh sb="8" eb="9">
      <t>ヒカリ</t>
    </rPh>
    <rPh sb="10" eb="11">
      <t>オカ</t>
    </rPh>
    <rPh sb="11" eb="13">
      <t>チク</t>
    </rPh>
    <rPh sb="14" eb="17">
      <t>ショウガッコウ</t>
    </rPh>
    <rPh sb="18" eb="19">
      <t>コウ</t>
    </rPh>
    <rPh sb="21" eb="22">
      <t>コウ</t>
    </rPh>
    <rPh sb="23" eb="25">
      <t>トウゴウ</t>
    </rPh>
    <rPh sb="26" eb="28">
      <t>サイヘン</t>
    </rPh>
    <phoneticPr fontId="3"/>
  </si>
  <si>
    <t>６学年</t>
    <rPh sb="1" eb="3">
      <t>ガクネン</t>
    </rPh>
    <phoneticPr fontId="3"/>
  </si>
  <si>
    <t>５学年</t>
    <rPh sb="1" eb="3">
      <t>ガクネン</t>
    </rPh>
    <phoneticPr fontId="3"/>
  </si>
  <si>
    <t>４学年</t>
    <rPh sb="1" eb="3">
      <t>ガクネン</t>
    </rPh>
    <phoneticPr fontId="3"/>
  </si>
  <si>
    <t>教 員 １ 人
当り児童数</t>
    <rPh sb="0" eb="1">
      <t>キョウ</t>
    </rPh>
    <rPh sb="2" eb="3">
      <t>イン</t>
    </rPh>
    <rPh sb="4" eb="6">
      <t>ヒトリ</t>
    </rPh>
    <rPh sb="6" eb="7">
      <t>ニン</t>
    </rPh>
    <rPh sb="8" eb="9">
      <t>アタ</t>
    </rPh>
    <rPh sb="10" eb="12">
      <t>ジドウ</t>
    </rPh>
    <rPh sb="12" eb="13">
      <t>スウ</t>
    </rPh>
    <phoneticPr fontId="3"/>
  </si>
  <si>
    <t>表139　区立小学校数、学級数、教員数および児童数の推移</t>
    <rPh sb="5" eb="7">
      <t>クリツ</t>
    </rPh>
    <rPh sb="7" eb="10">
      <t>ショウガッコウ</t>
    </rPh>
    <rPh sb="10" eb="11">
      <t>スウ</t>
    </rPh>
    <rPh sb="12" eb="14">
      <t>ガッキュウ</t>
    </rPh>
    <rPh sb="14" eb="15">
      <t>スウ</t>
    </rPh>
    <rPh sb="16" eb="18">
      <t>キョウイン</t>
    </rPh>
    <rPh sb="18" eb="19">
      <t>スウ</t>
    </rPh>
    <rPh sb="22" eb="24">
      <t>ジドウ</t>
    </rPh>
    <rPh sb="24" eb="25">
      <t>スウ</t>
    </rPh>
    <rPh sb="26" eb="28">
      <t>スイイ</t>
    </rPh>
    <phoneticPr fontId="3"/>
  </si>
  <si>
    <t>次ページ小計</t>
    <rPh sb="0" eb="1">
      <t>ジ</t>
    </rPh>
    <rPh sb="4" eb="6">
      <t>ショウケイ</t>
    </rPh>
    <phoneticPr fontId="3"/>
  </si>
  <si>
    <t>小計</t>
    <rPh sb="0" eb="2">
      <t>ショウケイ</t>
    </rPh>
    <phoneticPr fontId="3"/>
  </si>
  <si>
    <t>大泉南</t>
    <rPh sb="0" eb="2">
      <t>オオイズミ</t>
    </rPh>
    <rPh sb="2" eb="3">
      <t>ミナミ</t>
    </rPh>
    <phoneticPr fontId="3"/>
  </si>
  <si>
    <t>大泉西</t>
    <rPh sb="0" eb="2">
      <t>オオイズミ</t>
    </rPh>
    <rPh sb="2" eb="3">
      <t>ニシ</t>
    </rPh>
    <phoneticPr fontId="3"/>
  </si>
  <si>
    <t>大泉東</t>
    <rPh sb="0" eb="2">
      <t>オオイズミ</t>
    </rPh>
    <rPh sb="2" eb="3">
      <t>ヒガシ</t>
    </rPh>
    <phoneticPr fontId="3"/>
  </si>
  <si>
    <t>大泉第六</t>
    <rPh sb="0" eb="2">
      <t>オオイズミ</t>
    </rPh>
    <rPh sb="2" eb="3">
      <t>ダイ</t>
    </rPh>
    <rPh sb="3" eb="4">
      <t>ロク</t>
    </rPh>
    <phoneticPr fontId="3"/>
  </si>
  <si>
    <t>大泉第四</t>
    <rPh sb="0" eb="2">
      <t>オオイズミ</t>
    </rPh>
    <rPh sb="2" eb="3">
      <t>ダイ</t>
    </rPh>
    <rPh sb="3" eb="4">
      <t>ヨン</t>
    </rPh>
    <phoneticPr fontId="3"/>
  </si>
  <si>
    <t>大泉第三</t>
    <rPh sb="0" eb="2">
      <t>オオイズミ</t>
    </rPh>
    <rPh sb="2" eb="3">
      <t>ダイ</t>
    </rPh>
    <rPh sb="3" eb="4">
      <t>サン</t>
    </rPh>
    <phoneticPr fontId="3"/>
  </si>
  <si>
    <t>大泉第二</t>
    <rPh sb="0" eb="2">
      <t>オオイズミ</t>
    </rPh>
    <rPh sb="2" eb="4">
      <t>ダイニ</t>
    </rPh>
    <phoneticPr fontId="3"/>
  </si>
  <si>
    <t>大泉第一</t>
    <rPh sb="0" eb="2">
      <t>オオイズミ</t>
    </rPh>
    <rPh sb="2" eb="4">
      <t>ダイイチ</t>
    </rPh>
    <phoneticPr fontId="3"/>
  </si>
  <si>
    <t>大泉</t>
    <rPh sb="0" eb="2">
      <t>オオイズミ</t>
    </rPh>
    <phoneticPr fontId="3"/>
  </si>
  <si>
    <t>関町北</t>
    <rPh sb="0" eb="3">
      <t>セキマチキタ</t>
    </rPh>
    <phoneticPr fontId="3"/>
  </si>
  <si>
    <t>関町</t>
    <rPh sb="0" eb="1">
      <t>セキ</t>
    </rPh>
    <rPh sb="1" eb="2">
      <t>マチ</t>
    </rPh>
    <phoneticPr fontId="3"/>
  </si>
  <si>
    <t>立野</t>
    <rPh sb="0" eb="2">
      <t>タテノ</t>
    </rPh>
    <phoneticPr fontId="3"/>
  </si>
  <si>
    <t>北原</t>
    <rPh sb="0" eb="1">
      <t>キタ</t>
    </rPh>
    <rPh sb="1" eb="2">
      <t>ハラ</t>
    </rPh>
    <phoneticPr fontId="3"/>
  </si>
  <si>
    <t>谷原</t>
    <rPh sb="0" eb="2">
      <t>ヤハラ</t>
    </rPh>
    <phoneticPr fontId="3"/>
  </si>
  <si>
    <t>光和</t>
    <rPh sb="0" eb="1">
      <t>ヒカリ</t>
    </rPh>
    <rPh sb="1" eb="2">
      <t>ワ</t>
    </rPh>
    <phoneticPr fontId="3"/>
  </si>
  <si>
    <t>下石神井</t>
    <rPh sb="0" eb="4">
      <t>シモシャクジイ</t>
    </rPh>
    <phoneticPr fontId="3"/>
  </si>
  <si>
    <t>上石神井北</t>
    <rPh sb="0" eb="4">
      <t>カミシャクジイ</t>
    </rPh>
    <rPh sb="4" eb="5">
      <t>キタ</t>
    </rPh>
    <phoneticPr fontId="3"/>
  </si>
  <si>
    <t>上石神井</t>
    <rPh sb="0" eb="4">
      <t>カミシャクジイ</t>
    </rPh>
    <phoneticPr fontId="3"/>
  </si>
  <si>
    <t>石神井台</t>
    <rPh sb="0" eb="3">
      <t>シャクジイ</t>
    </rPh>
    <rPh sb="3" eb="4">
      <t>ダイ</t>
    </rPh>
    <phoneticPr fontId="3"/>
  </si>
  <si>
    <t>石神井西</t>
    <rPh sb="0" eb="3">
      <t>シャクジイ</t>
    </rPh>
    <rPh sb="3" eb="4">
      <t>ニシ</t>
    </rPh>
    <phoneticPr fontId="3"/>
  </si>
  <si>
    <t>石神井東</t>
    <rPh sb="0" eb="3">
      <t>シャクジイ</t>
    </rPh>
    <rPh sb="3" eb="4">
      <t>ヒガシ</t>
    </rPh>
    <phoneticPr fontId="3"/>
  </si>
  <si>
    <t>石神井</t>
    <rPh sb="0" eb="3">
      <t>シャクジイ</t>
    </rPh>
    <phoneticPr fontId="3"/>
  </si>
  <si>
    <t>光が丘第八</t>
    <rPh sb="0" eb="1">
      <t>ヒカリ</t>
    </rPh>
    <rPh sb="2" eb="3">
      <t>オカ</t>
    </rPh>
    <rPh sb="3" eb="4">
      <t>ダイ</t>
    </rPh>
    <rPh sb="4" eb="5">
      <t>ハチ</t>
    </rPh>
    <phoneticPr fontId="3"/>
  </si>
  <si>
    <t>光が丘秋の陽</t>
    <rPh sb="0" eb="1">
      <t>ヒカリ</t>
    </rPh>
    <rPh sb="2" eb="3">
      <t>オカ</t>
    </rPh>
    <rPh sb="3" eb="4">
      <t>アキ</t>
    </rPh>
    <rPh sb="5" eb="6">
      <t>ヒ</t>
    </rPh>
    <phoneticPr fontId="3"/>
  </si>
  <si>
    <t>光が丘夏の雲</t>
    <rPh sb="0" eb="1">
      <t>ヒカリ</t>
    </rPh>
    <rPh sb="2" eb="3">
      <t>オカ</t>
    </rPh>
    <rPh sb="3" eb="4">
      <t>ナツ</t>
    </rPh>
    <rPh sb="5" eb="6">
      <t>クモ</t>
    </rPh>
    <phoneticPr fontId="3"/>
  </si>
  <si>
    <t>光が丘春の風</t>
    <rPh sb="0" eb="1">
      <t>ヒカリ</t>
    </rPh>
    <rPh sb="2" eb="3">
      <t>オカ</t>
    </rPh>
    <rPh sb="3" eb="4">
      <t>ハル</t>
    </rPh>
    <rPh sb="5" eb="6">
      <t>カゼ</t>
    </rPh>
    <phoneticPr fontId="3"/>
  </si>
  <si>
    <t>光が丘四季の香</t>
    <rPh sb="0" eb="1">
      <t>ヒカリ</t>
    </rPh>
    <rPh sb="2" eb="3">
      <t>オカ</t>
    </rPh>
    <rPh sb="3" eb="5">
      <t>シキ</t>
    </rPh>
    <rPh sb="6" eb="7">
      <t>カオリ</t>
    </rPh>
    <phoneticPr fontId="3"/>
  </si>
  <si>
    <t>春日</t>
    <rPh sb="0" eb="2">
      <t>カスガ</t>
    </rPh>
    <phoneticPr fontId="3"/>
  </si>
  <si>
    <t>高松</t>
    <rPh sb="0" eb="2">
      <t>タカマツ</t>
    </rPh>
    <phoneticPr fontId="3"/>
  </si>
  <si>
    <t>旭町</t>
    <rPh sb="0" eb="1">
      <t>アサヒ</t>
    </rPh>
    <rPh sb="1" eb="2">
      <t>マチ</t>
    </rPh>
    <phoneticPr fontId="3"/>
  </si>
  <si>
    <t>豊溪</t>
    <rPh sb="0" eb="1">
      <t>ユタカ</t>
    </rPh>
    <rPh sb="1" eb="2">
      <t>ケイ</t>
    </rPh>
    <phoneticPr fontId="3"/>
  </si>
  <si>
    <t>向山</t>
    <rPh sb="0" eb="2">
      <t>コウヤマ</t>
    </rPh>
    <phoneticPr fontId="3"/>
  </si>
  <si>
    <t>田柄第二</t>
    <rPh sb="0" eb="2">
      <t>タガラ</t>
    </rPh>
    <rPh sb="2" eb="4">
      <t>ダイニ</t>
    </rPh>
    <phoneticPr fontId="3"/>
  </si>
  <si>
    <t>田柄</t>
    <rPh sb="0" eb="2">
      <t>タガラ</t>
    </rPh>
    <phoneticPr fontId="3"/>
  </si>
  <si>
    <t>練馬東</t>
    <rPh sb="0" eb="2">
      <t>ネリマ</t>
    </rPh>
    <rPh sb="2" eb="3">
      <t>ヒガシ</t>
    </rPh>
    <phoneticPr fontId="3"/>
  </si>
  <si>
    <t>練馬第三</t>
    <rPh sb="0" eb="2">
      <t>ネリマ</t>
    </rPh>
    <rPh sb="2" eb="3">
      <t>ダイ</t>
    </rPh>
    <rPh sb="3" eb="4">
      <t>サン</t>
    </rPh>
    <phoneticPr fontId="3"/>
  </si>
  <si>
    <t>練馬第二</t>
    <rPh sb="0" eb="2">
      <t>ネリマ</t>
    </rPh>
    <rPh sb="2" eb="4">
      <t>ダイニ</t>
    </rPh>
    <phoneticPr fontId="3"/>
  </si>
  <si>
    <t>練馬</t>
    <rPh sb="0" eb="2">
      <t>ネリマ</t>
    </rPh>
    <phoneticPr fontId="3"/>
  </si>
  <si>
    <t>北町西</t>
    <rPh sb="0" eb="2">
      <t>キタマチ</t>
    </rPh>
    <rPh sb="2" eb="3">
      <t>ニシ</t>
    </rPh>
    <phoneticPr fontId="3"/>
  </si>
  <si>
    <t>北町</t>
    <rPh sb="0" eb="2">
      <t>キタマチ</t>
    </rPh>
    <phoneticPr fontId="3"/>
  </si>
  <si>
    <t>南町</t>
    <rPh sb="0" eb="2">
      <t>ミナミマチ</t>
    </rPh>
    <phoneticPr fontId="3"/>
  </si>
  <si>
    <t>仲町</t>
    <rPh sb="0" eb="2">
      <t>ナカマチ</t>
    </rPh>
    <phoneticPr fontId="3"/>
  </si>
  <si>
    <t>開進第四</t>
    <rPh sb="0" eb="1">
      <t>カイ</t>
    </rPh>
    <rPh sb="1" eb="2">
      <t>シン</t>
    </rPh>
    <rPh sb="2" eb="4">
      <t>ダイシ</t>
    </rPh>
    <phoneticPr fontId="3"/>
  </si>
  <si>
    <t>開進第三</t>
    <rPh sb="0" eb="1">
      <t>カイ</t>
    </rPh>
    <rPh sb="1" eb="2">
      <t>シン</t>
    </rPh>
    <rPh sb="2" eb="4">
      <t>ダイサン</t>
    </rPh>
    <phoneticPr fontId="3"/>
  </si>
  <si>
    <t>開進第二</t>
    <rPh sb="0" eb="1">
      <t>カイ</t>
    </rPh>
    <rPh sb="1" eb="2">
      <t>シン</t>
    </rPh>
    <rPh sb="2" eb="4">
      <t>ダイニ</t>
    </rPh>
    <phoneticPr fontId="3"/>
  </si>
  <si>
    <t>開進第一</t>
    <rPh sb="0" eb="2">
      <t>カイシン</t>
    </rPh>
    <rPh sb="2" eb="4">
      <t>ダイイチ</t>
    </rPh>
    <phoneticPr fontId="3"/>
  </si>
  <si>
    <t>早宮</t>
    <rPh sb="0" eb="2">
      <t>ハヤミヤ</t>
    </rPh>
    <phoneticPr fontId="3"/>
  </si>
  <si>
    <t>中村西</t>
    <rPh sb="0" eb="2">
      <t>ナカムラ</t>
    </rPh>
    <rPh sb="2" eb="3">
      <t>ニシ</t>
    </rPh>
    <phoneticPr fontId="3"/>
  </si>
  <si>
    <t>中村</t>
    <rPh sb="0" eb="2">
      <t>ナカムラ</t>
    </rPh>
    <phoneticPr fontId="3"/>
  </si>
  <si>
    <t>豊玉南</t>
    <rPh sb="0" eb="2">
      <t>トヨタマ</t>
    </rPh>
    <rPh sb="2" eb="3">
      <t>ミナミ</t>
    </rPh>
    <phoneticPr fontId="3"/>
  </si>
  <si>
    <t>豊玉東</t>
    <rPh sb="0" eb="2">
      <t>トヨタマ</t>
    </rPh>
    <rPh sb="2" eb="3">
      <t>ヒガシ</t>
    </rPh>
    <phoneticPr fontId="3"/>
  </si>
  <si>
    <t>豊玉第二</t>
    <rPh sb="0" eb="2">
      <t>トヨタマ</t>
    </rPh>
    <rPh sb="2" eb="4">
      <t>ダイニ</t>
    </rPh>
    <phoneticPr fontId="3"/>
  </si>
  <si>
    <t>豊玉</t>
    <rPh sb="0" eb="2">
      <t>トヨタマ</t>
    </rPh>
    <phoneticPr fontId="3"/>
  </si>
  <si>
    <t>小竹</t>
    <rPh sb="0" eb="2">
      <t>コタケ</t>
    </rPh>
    <phoneticPr fontId="3"/>
  </si>
  <si>
    <t>旭丘</t>
    <rPh sb="0" eb="2">
      <t>アサヒガオカ</t>
    </rPh>
    <phoneticPr fontId="3"/>
  </si>
  <si>
    <t xml:space="preserve">㎡ </t>
    <phoneticPr fontId="3"/>
  </si>
  <si>
    <t>校地面積</t>
    <rPh sb="0" eb="2">
      <t>コウチ</t>
    </rPh>
    <rPh sb="2" eb="4">
      <t>メンセキ</t>
    </rPh>
    <phoneticPr fontId="3"/>
  </si>
  <si>
    <t>学校名</t>
    <rPh sb="0" eb="2">
      <t>ガッコウ</t>
    </rPh>
    <rPh sb="2" eb="3">
      <t>メイ</t>
    </rPh>
    <phoneticPr fontId="3"/>
  </si>
  <si>
    <t>(平成25年５月１日現在)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</si>
  <si>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(1)　区　立　小　学　校</t>
    <rPh sb="4" eb="5">
      <t>ク</t>
    </rPh>
    <rPh sb="6" eb="7">
      <t>タテ</t>
    </rPh>
    <rPh sb="8" eb="9">
      <t>ショウ</t>
    </rPh>
    <rPh sb="10" eb="11">
      <t>ガク</t>
    </rPh>
    <rPh sb="12" eb="13">
      <t>コウ</t>
    </rPh>
    <phoneticPr fontId="3"/>
  </si>
  <si>
    <t>表141　学校別学級数、教員数、在学者数および校地面積</t>
    <rPh sb="5" eb="7">
      <t>ガッコウ</t>
    </rPh>
    <rPh sb="7" eb="8">
      <t>ベツ</t>
    </rPh>
    <rPh sb="8" eb="10">
      <t>ガッキュウ</t>
    </rPh>
    <rPh sb="10" eb="11">
      <t>スウ</t>
    </rPh>
    <rPh sb="12" eb="14">
      <t>キョウイン</t>
    </rPh>
    <rPh sb="14" eb="15">
      <t>スウ</t>
    </rPh>
    <rPh sb="16" eb="18">
      <t>ザイガク</t>
    </rPh>
    <rPh sb="18" eb="19">
      <t>シャ</t>
    </rPh>
    <rPh sb="19" eb="20">
      <t>スウ</t>
    </rPh>
    <rPh sb="23" eb="25">
      <t>コウチ</t>
    </rPh>
    <rPh sb="25" eb="27">
      <t>メンセキ</t>
    </rPh>
    <phoneticPr fontId="3"/>
  </si>
  <si>
    <t>教育委員会教育振興部学務課、施設給食課、教育指導課</t>
    <rPh sb="0" eb="2">
      <t>キョウイク</t>
    </rPh>
    <rPh sb="2" eb="5">
      <t>イインカイ</t>
    </rPh>
    <rPh sb="5" eb="7">
      <t>キョウイク</t>
    </rPh>
    <rPh sb="7" eb="9">
      <t>シンコウ</t>
    </rPh>
    <rPh sb="9" eb="10">
      <t>ブ</t>
    </rPh>
    <rPh sb="10" eb="13">
      <t>ガクムカ</t>
    </rPh>
    <rPh sb="14" eb="16">
      <t>シセツ</t>
    </rPh>
    <rPh sb="16" eb="18">
      <t>キュウショク</t>
    </rPh>
    <rPh sb="18" eb="19">
      <t>カ</t>
    </rPh>
    <rPh sb="20" eb="22">
      <t>キョウイク</t>
    </rPh>
    <rPh sb="22" eb="24">
      <t>シドウ</t>
    </rPh>
    <rPh sb="24" eb="25">
      <t>カ</t>
    </rPh>
    <phoneticPr fontId="3"/>
  </si>
  <si>
    <t>生徒数は、特別支援学級(固定学級)の在学者数を含む。</t>
    <rPh sb="0" eb="3">
      <t>セイトスウ</t>
    </rPh>
    <rPh sb="5" eb="7">
      <t>トクベツ</t>
    </rPh>
    <rPh sb="7" eb="9">
      <t>シエン</t>
    </rPh>
    <rPh sb="9" eb="11">
      <t>ガッキュウ</t>
    </rPh>
    <rPh sb="12" eb="14">
      <t>コテイ</t>
    </rPh>
    <rPh sb="14" eb="16">
      <t>ガッキュウ</t>
    </rPh>
    <rPh sb="18" eb="20">
      <t>ザイガク</t>
    </rPh>
    <rPh sb="20" eb="21">
      <t>シャ</t>
    </rPh>
    <rPh sb="21" eb="22">
      <t>スウ</t>
    </rPh>
    <rPh sb="23" eb="24">
      <t>フク</t>
    </rPh>
    <phoneticPr fontId="3"/>
  </si>
  <si>
    <t>(　)内は、特別支援学級数(通級を含む)で、外数である。</t>
    <rPh sb="3" eb="4">
      <t>ナイ</t>
    </rPh>
    <rPh sb="6" eb="8">
      <t>トクベツ</t>
    </rPh>
    <rPh sb="8" eb="10">
      <t>シエン</t>
    </rPh>
    <rPh sb="10" eb="12">
      <t>ガッキュウ</t>
    </rPh>
    <rPh sb="12" eb="13">
      <t>スウ</t>
    </rPh>
    <rPh sb="14" eb="16">
      <t>ツウキュウ</t>
    </rPh>
    <rPh sb="17" eb="18">
      <t>フク</t>
    </rPh>
    <rPh sb="22" eb="23">
      <t>ソト</t>
    </rPh>
    <rPh sb="23" eb="24">
      <t>スウ</t>
    </rPh>
    <phoneticPr fontId="3"/>
  </si>
  <si>
    <t>八坂</t>
    <rPh sb="0" eb="2">
      <t>ヤサカ</t>
    </rPh>
    <phoneticPr fontId="3"/>
  </si>
  <si>
    <t>関</t>
    <rPh sb="0" eb="1">
      <t>セキ</t>
    </rPh>
    <phoneticPr fontId="3"/>
  </si>
  <si>
    <t>大泉学園桜</t>
    <rPh sb="0" eb="2">
      <t>オオイズミ</t>
    </rPh>
    <rPh sb="2" eb="4">
      <t>ガクエン</t>
    </rPh>
    <rPh sb="4" eb="5">
      <t>サクラ</t>
    </rPh>
    <phoneticPr fontId="3"/>
  </si>
  <si>
    <t>大泉学園</t>
    <rPh sb="0" eb="2">
      <t>オオイズミ</t>
    </rPh>
    <rPh sb="2" eb="4">
      <t>ガクエン</t>
    </rPh>
    <phoneticPr fontId="3"/>
  </si>
  <si>
    <t>大泉北</t>
    <rPh sb="0" eb="2">
      <t>オオイズミ</t>
    </rPh>
    <rPh sb="2" eb="3">
      <t>キタ</t>
    </rPh>
    <phoneticPr fontId="3"/>
  </si>
  <si>
    <t>三原台</t>
    <rPh sb="0" eb="3">
      <t>ミハラダイ</t>
    </rPh>
    <phoneticPr fontId="3"/>
  </si>
  <si>
    <t>南が丘</t>
    <rPh sb="0" eb="1">
      <t>ミナミ</t>
    </rPh>
    <rPh sb="2" eb="3">
      <t>オカ</t>
    </rPh>
    <phoneticPr fontId="3"/>
  </si>
  <si>
    <t>石神井南</t>
    <rPh sb="0" eb="3">
      <t>シャクジイ</t>
    </rPh>
    <rPh sb="3" eb="4">
      <t>ミナミ</t>
    </rPh>
    <phoneticPr fontId="3"/>
  </si>
  <si>
    <t>光が丘第四</t>
    <rPh sb="0" eb="1">
      <t>ヒカリ</t>
    </rPh>
    <rPh sb="2" eb="3">
      <t>オカ</t>
    </rPh>
    <rPh sb="3" eb="4">
      <t>ダイ</t>
    </rPh>
    <rPh sb="4" eb="5">
      <t>ヨン</t>
    </rPh>
    <phoneticPr fontId="3"/>
  </si>
  <si>
    <t>光が丘第三</t>
    <rPh sb="0" eb="1">
      <t>ヒカリ</t>
    </rPh>
    <rPh sb="2" eb="3">
      <t>オカ</t>
    </rPh>
    <rPh sb="3" eb="4">
      <t>ダイ</t>
    </rPh>
    <rPh sb="4" eb="5">
      <t>サン</t>
    </rPh>
    <phoneticPr fontId="3"/>
  </si>
  <si>
    <t>光が丘第二</t>
    <rPh sb="0" eb="1">
      <t>ヒカリ</t>
    </rPh>
    <rPh sb="2" eb="3">
      <t>オカ</t>
    </rPh>
    <rPh sb="3" eb="5">
      <t>ダイニ</t>
    </rPh>
    <phoneticPr fontId="3"/>
  </si>
  <si>
    <t>光が丘第一</t>
    <rPh sb="0" eb="1">
      <t>ヒカリ</t>
    </rPh>
    <rPh sb="2" eb="3">
      <t>オカ</t>
    </rPh>
    <rPh sb="3" eb="5">
      <t>ダイイチ</t>
    </rPh>
    <phoneticPr fontId="3"/>
  </si>
  <si>
    <t>貫井</t>
    <rPh sb="0" eb="2">
      <t>ヌクイ</t>
    </rPh>
    <phoneticPr fontId="3"/>
  </si>
  <si>
    <t>開進第四</t>
    <rPh sb="0" eb="1">
      <t>カイ</t>
    </rPh>
    <rPh sb="1" eb="2">
      <t>シン</t>
    </rPh>
    <rPh sb="2" eb="3">
      <t>ダイ</t>
    </rPh>
    <rPh sb="3" eb="4">
      <t>ヨン</t>
    </rPh>
    <phoneticPr fontId="3"/>
  </si>
  <si>
    <t>開進第三</t>
    <rPh sb="0" eb="1">
      <t>カイ</t>
    </rPh>
    <rPh sb="1" eb="2">
      <t>シン</t>
    </rPh>
    <rPh sb="2" eb="4">
      <t>ダイゾウ</t>
    </rPh>
    <phoneticPr fontId="3"/>
  </si>
  <si>
    <t>開進第一</t>
    <rPh sb="0" eb="1">
      <t>カイ</t>
    </rPh>
    <rPh sb="1" eb="2">
      <t>シン</t>
    </rPh>
    <rPh sb="2" eb="4">
      <t>ダイイチ</t>
    </rPh>
    <phoneticPr fontId="3"/>
  </si>
  <si>
    <t xml:space="preserve">㎡ </t>
    <phoneticPr fontId="3"/>
  </si>
  <si>
    <t>(2)　区　立　中　学　校</t>
    <rPh sb="4" eb="5">
      <t>ク</t>
    </rPh>
    <rPh sb="6" eb="7">
      <t>タテ</t>
    </rPh>
    <rPh sb="8" eb="9">
      <t>ナカ</t>
    </rPh>
    <rPh sb="10" eb="11">
      <t>ガク</t>
    </rPh>
    <rPh sb="12" eb="13">
      <t>コウ</t>
    </rPh>
    <phoneticPr fontId="3"/>
  </si>
  <si>
    <t>児童数は、特別支援学級(固定学級)の在籍者数を含む。</t>
    <rPh sb="0" eb="2">
      <t>ジドウ</t>
    </rPh>
    <rPh sb="2" eb="3">
      <t>スウ</t>
    </rPh>
    <rPh sb="5" eb="7">
      <t>トクベツ</t>
    </rPh>
    <rPh sb="7" eb="9">
      <t>シエン</t>
    </rPh>
    <rPh sb="9" eb="11">
      <t>ガッキュウ</t>
    </rPh>
    <rPh sb="12" eb="14">
      <t>コテイ</t>
    </rPh>
    <rPh sb="14" eb="16">
      <t>ガッキュウ</t>
    </rPh>
    <rPh sb="18" eb="21">
      <t>ザイセキシャ</t>
    </rPh>
    <rPh sb="21" eb="22">
      <t>スウ</t>
    </rPh>
    <rPh sb="23" eb="24">
      <t>フク</t>
    </rPh>
    <phoneticPr fontId="3"/>
  </si>
  <si>
    <t>富士見台</t>
    <rPh sb="0" eb="4">
      <t>フジミダイ</t>
    </rPh>
    <phoneticPr fontId="3"/>
  </si>
  <si>
    <t>南田中</t>
    <rPh sb="0" eb="3">
      <t>ミナミタナカ</t>
    </rPh>
    <phoneticPr fontId="3"/>
  </si>
  <si>
    <t>橋戸</t>
    <rPh sb="0" eb="2">
      <t>ハシド</t>
    </rPh>
    <phoneticPr fontId="3"/>
  </si>
  <si>
    <t>泉新</t>
    <rPh sb="0" eb="1">
      <t>イズミ</t>
    </rPh>
    <rPh sb="1" eb="2">
      <t>シン</t>
    </rPh>
    <phoneticPr fontId="3"/>
  </si>
  <si>
    <t>大泉学園緑</t>
    <rPh sb="0" eb="2">
      <t>オオイズミ</t>
    </rPh>
    <rPh sb="2" eb="4">
      <t>ガクエン</t>
    </rPh>
    <rPh sb="4" eb="5">
      <t>ミドリ</t>
    </rPh>
    <phoneticPr fontId="3"/>
  </si>
  <si>
    <t xml:space="preserve">㎡ </t>
    <phoneticPr fontId="3"/>
  </si>
  <si>
    <t>(1)　区　立　小　学　校　(つ　づ　き)</t>
    <rPh sb="4" eb="5">
      <t>ク</t>
    </rPh>
    <rPh sb="6" eb="7">
      <t>タテ</t>
    </rPh>
    <rPh sb="8" eb="9">
      <t>ショウ</t>
    </rPh>
    <rPh sb="10" eb="11">
      <t>ガク</t>
    </rPh>
    <rPh sb="12" eb="13">
      <t>コウ</t>
    </rPh>
    <phoneticPr fontId="3"/>
  </si>
  <si>
    <t>教育委員会教育振興部施設給食課</t>
    <rPh sb="0" eb="2">
      <t>キョウイク</t>
    </rPh>
    <rPh sb="2" eb="5">
      <t>イインカイ</t>
    </rPh>
    <rPh sb="5" eb="7">
      <t>キョウイク</t>
    </rPh>
    <rPh sb="7" eb="9">
      <t>シンコウ</t>
    </rPh>
    <rPh sb="9" eb="10">
      <t>ブ</t>
    </rPh>
    <rPh sb="10" eb="12">
      <t>シセツ</t>
    </rPh>
    <rPh sb="12" eb="14">
      <t>キュウショク</t>
    </rPh>
    <rPh sb="14" eb="15">
      <t>カ</t>
    </rPh>
    <phoneticPr fontId="3"/>
  </si>
  <si>
    <t>:</t>
    <phoneticPr fontId="3"/>
  </si>
  <si>
    <t>数値は小学校および中学校の再掲で、大泉学園桜小学校、大泉学園桜中学校の合計である。</t>
    <rPh sb="0" eb="2">
      <t>スウチ</t>
    </rPh>
    <rPh sb="3" eb="6">
      <t>ショウガッコウ</t>
    </rPh>
    <rPh sb="9" eb="12">
      <t>チュウガッコウ</t>
    </rPh>
    <rPh sb="13" eb="15">
      <t>サイケイ</t>
    </rPh>
    <rPh sb="17" eb="19">
      <t>オオイズミ</t>
    </rPh>
    <rPh sb="19" eb="21">
      <t>ガクエン</t>
    </rPh>
    <rPh sb="21" eb="22">
      <t>サクラ</t>
    </rPh>
    <rPh sb="22" eb="25">
      <t>ショウガッコウ</t>
    </rPh>
    <rPh sb="26" eb="28">
      <t>オオイズミ</t>
    </rPh>
    <rPh sb="28" eb="30">
      <t>ガクエン</t>
    </rPh>
    <rPh sb="30" eb="31">
      <t>サクラ</t>
    </rPh>
    <rPh sb="31" eb="34">
      <t>チュウガッコウ</t>
    </rPh>
    <rPh sb="35" eb="37">
      <t>ゴウケイ</t>
    </rPh>
    <phoneticPr fontId="3"/>
  </si>
  <si>
    <t>体育館</t>
    <rPh sb="0" eb="3">
      <t>タイイクカン</t>
    </rPh>
    <phoneticPr fontId="3"/>
  </si>
  <si>
    <t>運動場</t>
    <rPh sb="0" eb="3">
      <t>ウンドウジョウ</t>
    </rPh>
    <phoneticPr fontId="3"/>
  </si>
  <si>
    <t>校舎</t>
    <rPh sb="0" eb="2">
      <t>コウシャ</t>
    </rPh>
    <phoneticPr fontId="3"/>
  </si>
  <si>
    <t>校地</t>
    <rPh sb="0" eb="2">
      <t>コウチ</t>
    </rPh>
    <phoneticPr fontId="3"/>
  </si>
  <si>
    <t>(3)　区　立　小　中　一　貫　教　育　校</t>
    <rPh sb="4" eb="5">
      <t>ク</t>
    </rPh>
    <rPh sb="6" eb="7">
      <t>タテ</t>
    </rPh>
    <rPh sb="8" eb="9">
      <t>ショウ</t>
    </rPh>
    <rPh sb="10" eb="11">
      <t>チュウ</t>
    </rPh>
    <rPh sb="12" eb="13">
      <t>イチ</t>
    </rPh>
    <rPh sb="14" eb="15">
      <t>ヌキ</t>
    </rPh>
    <rPh sb="16" eb="17">
      <t>キョウ</t>
    </rPh>
    <rPh sb="18" eb="19">
      <t>イク</t>
    </rPh>
    <rPh sb="20" eb="21">
      <t>コウ</t>
    </rPh>
    <phoneticPr fontId="3"/>
  </si>
  <si>
    <t>:</t>
    <phoneticPr fontId="3"/>
  </si>
  <si>
    <t>表143　学　　校　　施　　設　　面　　積</t>
    <rPh sb="5" eb="6">
      <t>ガク</t>
    </rPh>
    <rPh sb="8" eb="9">
      <t>コウ</t>
    </rPh>
    <rPh sb="11" eb="12">
      <t>シ</t>
    </rPh>
    <rPh sb="14" eb="15">
      <t>セツ</t>
    </rPh>
    <rPh sb="17" eb="18">
      <t>メン</t>
    </rPh>
    <rPh sb="20" eb="21">
      <t>セキ</t>
    </rPh>
    <phoneticPr fontId="3"/>
  </si>
  <si>
    <t>教育委員会教育振興部学務課</t>
    <rPh sb="0" eb="2">
      <t>キョウイク</t>
    </rPh>
    <rPh sb="2" eb="5">
      <t>イインカイ</t>
    </rPh>
    <rPh sb="5" eb="7">
      <t>キョウイク</t>
    </rPh>
    <rPh sb="7" eb="9">
      <t>シンコウ</t>
    </rPh>
    <rPh sb="9" eb="10">
      <t>ブ</t>
    </rPh>
    <rPh sb="10" eb="13">
      <t>ガクムカ</t>
    </rPh>
    <phoneticPr fontId="3"/>
  </si>
  <si>
    <t>平成25年の数値は実数であり、特別支援学級の児童の数値は含まない。</t>
    <rPh sb="0" eb="2">
      <t>ヘイセイ</t>
    </rPh>
    <rPh sb="4" eb="5">
      <t>ネン</t>
    </rPh>
    <rPh sb="6" eb="8">
      <t>スウチ</t>
    </rPh>
    <rPh sb="9" eb="11">
      <t>ジッスウ</t>
    </rPh>
    <rPh sb="15" eb="17">
      <t>トクベツ</t>
    </rPh>
    <rPh sb="17" eb="19">
      <t>シエン</t>
    </rPh>
    <rPh sb="19" eb="21">
      <t>ガッキュウ</t>
    </rPh>
    <rPh sb="22" eb="24">
      <t>ジドウ</t>
    </rPh>
    <rPh sb="25" eb="27">
      <t>スウチ</t>
    </rPh>
    <rPh sb="28" eb="29">
      <t>フク</t>
    </rPh>
    <phoneticPr fontId="3"/>
  </si>
  <si>
    <t>表142　予　測　児　童　・　生　徒　数</t>
    <rPh sb="5" eb="6">
      <t>ヨ</t>
    </rPh>
    <rPh sb="7" eb="8">
      <t>ハカリ</t>
    </rPh>
    <rPh sb="9" eb="10">
      <t>ジ</t>
    </rPh>
    <rPh sb="11" eb="12">
      <t>ワラベ</t>
    </rPh>
    <rPh sb="15" eb="16">
      <t>セイ</t>
    </rPh>
    <rPh sb="17" eb="18">
      <t>ト</t>
    </rPh>
    <rPh sb="19" eb="20">
      <t>スウ</t>
    </rPh>
    <phoneticPr fontId="3"/>
  </si>
  <si>
    <t>大泉桜学園は、平成23年４月に開校した。</t>
    <rPh sb="0" eb="2">
      <t>オオイズミ</t>
    </rPh>
    <rPh sb="2" eb="3">
      <t>サクラ</t>
    </rPh>
    <rPh sb="3" eb="5">
      <t>ガクエン</t>
    </rPh>
    <rPh sb="7" eb="9">
      <t>ヘイセイ</t>
    </rPh>
    <rPh sb="11" eb="12">
      <t>ネン</t>
    </rPh>
    <rPh sb="13" eb="14">
      <t>ガツ</t>
    </rPh>
    <rPh sb="15" eb="17">
      <t>カイコウ</t>
    </rPh>
    <phoneticPr fontId="3"/>
  </si>
  <si>
    <t>数値は、小学校および中学校の再掲で、大泉学園桜小学校、大泉学園桜中学校の合計である。</t>
    <rPh sb="0" eb="2">
      <t>スウチ</t>
    </rPh>
    <rPh sb="4" eb="7">
      <t>ショウガッコウ</t>
    </rPh>
    <rPh sb="10" eb="13">
      <t>チュウガッコウ</t>
    </rPh>
    <rPh sb="14" eb="16">
      <t>サイケイ</t>
    </rPh>
    <rPh sb="18" eb="20">
      <t>オオイズミ</t>
    </rPh>
    <rPh sb="20" eb="22">
      <t>ガクエン</t>
    </rPh>
    <rPh sb="22" eb="23">
      <t>サクラ</t>
    </rPh>
    <rPh sb="23" eb="26">
      <t>ショウガッコウ</t>
    </rPh>
    <rPh sb="27" eb="29">
      <t>オオイズミ</t>
    </rPh>
    <rPh sb="29" eb="31">
      <t>ガクエン</t>
    </rPh>
    <rPh sb="31" eb="32">
      <t>サクラ</t>
    </rPh>
    <rPh sb="32" eb="35">
      <t>チュウガッコウ</t>
    </rPh>
    <rPh sb="36" eb="38">
      <t>ゴウケイ</t>
    </rPh>
    <phoneticPr fontId="3"/>
  </si>
  <si>
    <t>大泉桜学園</t>
    <rPh sb="0" eb="2">
      <t>オオイズミ</t>
    </rPh>
    <rPh sb="2" eb="3">
      <t>サクラ</t>
    </rPh>
    <rPh sb="3" eb="5">
      <t>ガクエン</t>
    </rPh>
    <phoneticPr fontId="3"/>
  </si>
  <si>
    <t xml:space="preserve">㎡ </t>
    <phoneticPr fontId="3"/>
  </si>
  <si>
    <t>東京都総務局統計部人口統計課「平成24年度　学校基本調査報告」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ジンコウ</t>
    </rPh>
    <rPh sb="11" eb="13">
      <t>トウケイ</t>
    </rPh>
    <rPh sb="13" eb="14">
      <t>カ</t>
    </rPh>
    <rPh sb="15" eb="17">
      <t>ヘイセイ</t>
    </rPh>
    <rPh sb="19" eb="21">
      <t>ネンド</t>
    </rPh>
    <rPh sb="22" eb="24">
      <t>ガッコウ</t>
    </rPh>
    <rPh sb="24" eb="26">
      <t>キホン</t>
    </rPh>
    <rPh sb="26" eb="28">
      <t>チョウサ</t>
    </rPh>
    <rPh sb="28" eb="30">
      <t>ホウコク</t>
    </rPh>
    <phoneticPr fontId="3"/>
  </si>
  <si>
    <t>：</t>
    <phoneticPr fontId="3"/>
  </si>
  <si>
    <t>死亡・不詳</t>
    <rPh sb="0" eb="2">
      <t>シボウ</t>
    </rPh>
    <rPh sb="3" eb="5">
      <t>フショウ</t>
    </rPh>
    <phoneticPr fontId="3"/>
  </si>
  <si>
    <t>上記以外の者</t>
    <rPh sb="0" eb="2">
      <t>ジョウキ</t>
    </rPh>
    <rPh sb="2" eb="4">
      <t>イガイ</t>
    </rPh>
    <rPh sb="5" eb="6">
      <t>モノ</t>
    </rPh>
    <phoneticPr fontId="3"/>
  </si>
  <si>
    <t>就職者</t>
    <rPh sb="0" eb="2">
      <t>シュウショク</t>
    </rPh>
    <rPh sb="2" eb="3">
      <t>シャ</t>
    </rPh>
    <phoneticPr fontId="3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</si>
  <si>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3">
      <t>ニュウガク</t>
    </rPh>
    <rPh sb="13" eb="14">
      <t>シャ</t>
    </rPh>
    <phoneticPr fontId="3"/>
  </si>
  <si>
    <t>専修学校(一般課程)等入学者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3">
      <t>ニュウガク</t>
    </rPh>
    <rPh sb="13" eb="14">
      <t>シャ</t>
    </rPh>
    <phoneticPr fontId="3"/>
  </si>
  <si>
    <t>専修学校(高等課程)進学者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2">
      <t>シンガク</t>
    </rPh>
    <rPh sb="12" eb="13">
      <t>シャ</t>
    </rPh>
    <phoneticPr fontId="3"/>
  </si>
  <si>
    <t>高等学校(本科)全日制</t>
    <rPh sb="0" eb="2">
      <t>コウトウ</t>
    </rPh>
    <rPh sb="2" eb="4">
      <t>ガッコウ</t>
    </rPh>
    <rPh sb="5" eb="7">
      <t>ホンカ</t>
    </rPh>
    <rPh sb="8" eb="11">
      <t>ゼンニチセイ</t>
    </rPh>
    <phoneticPr fontId="3"/>
  </si>
  <si>
    <t>高等学校等進学者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phoneticPr fontId="3"/>
  </si>
  <si>
    <t>卒業者総数</t>
    <rPh sb="0" eb="3">
      <t>ソツギョウシャ</t>
    </rPh>
    <rPh sb="3" eb="5">
      <t>ソウスウ</t>
    </rPh>
    <phoneticPr fontId="3"/>
  </si>
  <si>
    <t>私立中学校</t>
    <rPh sb="0" eb="2">
      <t>シリツ</t>
    </rPh>
    <rPh sb="2" eb="5">
      <t>チュウガッコウ</t>
    </rPh>
    <phoneticPr fontId="3"/>
  </si>
  <si>
    <t>国立中学校</t>
    <rPh sb="0" eb="2">
      <t>コクリツ</t>
    </rPh>
    <rPh sb="2" eb="5">
      <t>チュウガッコウ</t>
    </rPh>
    <phoneticPr fontId="3"/>
  </si>
  <si>
    <t>区立中学校</t>
    <rPh sb="0" eb="2">
      <t>クリツ</t>
    </rPh>
    <rPh sb="2" eb="5">
      <t>チュウガッコウ</t>
    </rPh>
    <phoneticPr fontId="3"/>
  </si>
  <si>
    <t>学校別</t>
    <rPh sb="0" eb="2">
      <t>ガッコウ</t>
    </rPh>
    <rPh sb="2" eb="3">
      <t>ベツ</t>
    </rPh>
    <phoneticPr fontId="3"/>
  </si>
  <si>
    <t>表145　中　学　校　卒　業　後　の　進　路　状　況</t>
    <rPh sb="5" eb="6">
      <t>ナカ</t>
    </rPh>
    <rPh sb="7" eb="8">
      <t>ガク</t>
    </rPh>
    <rPh sb="9" eb="10">
      <t>コウ</t>
    </rPh>
    <rPh sb="11" eb="12">
      <t>ソツ</t>
    </rPh>
    <rPh sb="13" eb="14">
      <t>ギョウ</t>
    </rPh>
    <rPh sb="15" eb="16">
      <t>アト</t>
    </rPh>
    <rPh sb="19" eb="20">
      <t>ススム</t>
    </rPh>
    <rPh sb="21" eb="22">
      <t>ロ</t>
    </rPh>
    <rPh sb="23" eb="24">
      <t>ジョウ</t>
    </rPh>
    <rPh sb="25" eb="26">
      <t>キョウ</t>
    </rPh>
    <phoneticPr fontId="3"/>
  </si>
  <si>
    <t>教育委員会教育振興部教育総務課</t>
    <rPh sb="0" eb="2">
      <t>キョウイク</t>
    </rPh>
    <rPh sb="2" eb="5">
      <t>イインカイ</t>
    </rPh>
    <rPh sb="5" eb="7">
      <t>キョウイク</t>
    </rPh>
    <rPh sb="7" eb="9">
      <t>シンコウ</t>
    </rPh>
    <rPh sb="9" eb="10">
      <t>ブ</t>
    </rPh>
    <rPh sb="10" eb="12">
      <t>キョウイク</t>
    </rPh>
    <rPh sb="12" eb="15">
      <t>ソウムカ</t>
    </rPh>
    <phoneticPr fontId="3"/>
  </si>
  <si>
    <t>：</t>
    <phoneticPr fontId="3"/>
  </si>
  <si>
    <t>各年とも、４月１日～６月末日に実施された、定期健康診断による数値である。</t>
    <rPh sb="0" eb="2">
      <t>カクネン</t>
    </rPh>
    <rPh sb="6" eb="7">
      <t>ガツ</t>
    </rPh>
    <rPh sb="8" eb="9">
      <t>ニチ</t>
    </rPh>
    <rPh sb="11" eb="12">
      <t>ガツ</t>
    </rPh>
    <rPh sb="12" eb="14">
      <t>マツジツ</t>
    </rPh>
    <rPh sb="15" eb="17">
      <t>ジッシ</t>
    </rPh>
    <rPh sb="21" eb="23">
      <t>テイキ</t>
    </rPh>
    <rPh sb="23" eb="25">
      <t>ケンコウ</t>
    </rPh>
    <rPh sb="25" eb="27">
      <t>シンダン</t>
    </rPh>
    <rPh sb="30" eb="32">
      <t>スウチ</t>
    </rPh>
    <phoneticPr fontId="3"/>
  </si>
  <si>
    <t>座高</t>
    <rPh sb="0" eb="2">
      <t>ザコウ</t>
    </rPh>
    <phoneticPr fontId="3"/>
  </si>
  <si>
    <t>体重</t>
    <rPh sb="0" eb="2">
      <t>タイジュウ</t>
    </rPh>
    <phoneticPr fontId="3"/>
  </si>
  <si>
    <t>身長</t>
    <rPh sb="0" eb="2">
      <t>シンチョウ</t>
    </rPh>
    <phoneticPr fontId="3"/>
  </si>
  <si>
    <t>表144　児　童　・　生　徒　の　平　均　体　格</t>
    <rPh sb="5" eb="6">
      <t>ジ</t>
    </rPh>
    <rPh sb="7" eb="8">
      <t>ワラベ</t>
    </rPh>
    <rPh sb="11" eb="12">
      <t>セイ</t>
    </rPh>
    <rPh sb="13" eb="14">
      <t>ト</t>
    </rPh>
    <rPh sb="17" eb="18">
      <t>ヒラ</t>
    </rPh>
    <rPh sb="19" eb="20">
      <t>ヒトシ</t>
    </rPh>
    <rPh sb="21" eb="22">
      <t>カラダ</t>
    </rPh>
    <rPh sb="23" eb="24">
      <t>カク</t>
    </rPh>
    <phoneticPr fontId="3"/>
  </si>
  <si>
    <t>：</t>
    <phoneticPr fontId="3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</si>
  <si>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3"/>
  </si>
  <si>
    <t>専修学校(専門課程)進学者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2">
      <t>シンガク</t>
    </rPh>
    <rPh sb="12" eb="13">
      <t>シャ</t>
    </rPh>
    <phoneticPr fontId="3"/>
  </si>
  <si>
    <t>大学・短大の通信教育部および放送大学</t>
    <rPh sb="0" eb="2">
      <t>ダイガク</t>
    </rPh>
    <rPh sb="3" eb="5">
      <t>タンダイ</t>
    </rPh>
    <rPh sb="6" eb="8">
      <t>ツウシン</t>
    </rPh>
    <rPh sb="8" eb="10">
      <t>キョウイク</t>
    </rPh>
    <rPh sb="10" eb="11">
      <t>ブ</t>
    </rPh>
    <rPh sb="14" eb="16">
      <t>ホウソウ</t>
    </rPh>
    <rPh sb="16" eb="18">
      <t>ダイガク</t>
    </rPh>
    <phoneticPr fontId="3"/>
  </si>
  <si>
    <t>大学・短大本科・その他</t>
    <rPh sb="0" eb="2">
      <t>ダイガク</t>
    </rPh>
    <rPh sb="3" eb="5">
      <t>タンダイ</t>
    </rPh>
    <rPh sb="5" eb="7">
      <t>ホンカ</t>
    </rPh>
    <rPh sb="10" eb="11">
      <t>タ</t>
    </rPh>
    <phoneticPr fontId="3"/>
  </si>
  <si>
    <t>大学等進学者</t>
    <rPh sb="0" eb="2">
      <t>ダイガク</t>
    </rPh>
    <rPh sb="2" eb="3">
      <t>トウ</t>
    </rPh>
    <rPh sb="3" eb="5">
      <t>シンガク</t>
    </rPh>
    <rPh sb="5" eb="6">
      <t>シャ</t>
    </rPh>
    <phoneticPr fontId="3"/>
  </si>
  <si>
    <t>卒業者総数</t>
    <rPh sb="0" eb="3">
      <t>ソツギョウシャ</t>
    </rPh>
    <rPh sb="3" eb="4">
      <t>ソウ</t>
    </rPh>
    <rPh sb="4" eb="5">
      <t>スウ</t>
    </rPh>
    <phoneticPr fontId="3"/>
  </si>
  <si>
    <t>私立高等学校</t>
    <rPh sb="0" eb="2">
      <t>シリツ</t>
    </rPh>
    <rPh sb="2" eb="4">
      <t>コウトウ</t>
    </rPh>
    <rPh sb="4" eb="6">
      <t>ガッコウ</t>
    </rPh>
    <phoneticPr fontId="3"/>
  </si>
  <si>
    <t>都立高等学校</t>
    <rPh sb="0" eb="2">
      <t>トリツ</t>
    </rPh>
    <rPh sb="2" eb="4">
      <t>コウトウ</t>
    </rPh>
    <rPh sb="4" eb="6">
      <t>ガッコウ</t>
    </rPh>
    <phoneticPr fontId="3"/>
  </si>
  <si>
    <t>表147　高　等　学　校　卒　業　後　の　進　路　状　況</t>
    <rPh sb="5" eb="6">
      <t>コウ</t>
    </rPh>
    <rPh sb="7" eb="8">
      <t>トウ</t>
    </rPh>
    <rPh sb="9" eb="10">
      <t>ガク</t>
    </rPh>
    <rPh sb="11" eb="12">
      <t>コウ</t>
    </rPh>
    <rPh sb="13" eb="14">
      <t>ソツ</t>
    </rPh>
    <rPh sb="15" eb="16">
      <t>ギョウ</t>
    </rPh>
    <rPh sb="17" eb="18">
      <t>アト</t>
    </rPh>
    <rPh sb="21" eb="22">
      <t>シン</t>
    </rPh>
    <rPh sb="23" eb="24">
      <t>ロ</t>
    </rPh>
    <rPh sb="25" eb="26">
      <t>ジョウ</t>
    </rPh>
    <rPh sb="27" eb="28">
      <t>キョウ</t>
    </rPh>
    <phoneticPr fontId="3"/>
  </si>
  <si>
    <t>私立学校の学級数は調査されていない。</t>
    <rPh sb="0" eb="2">
      <t>シリツ</t>
    </rPh>
    <rPh sb="2" eb="4">
      <t>ガッコウ</t>
    </rPh>
    <rPh sb="5" eb="7">
      <t>ガッキュウ</t>
    </rPh>
    <rPh sb="7" eb="8">
      <t>スウ</t>
    </rPh>
    <rPh sb="9" eb="11">
      <t>チョウサ</t>
    </rPh>
    <phoneticPr fontId="3"/>
  </si>
  <si>
    <t>「全日制」と「定時制」ではそれぞれ１校としてカウントしている。</t>
    <rPh sb="1" eb="4">
      <t>ゼンニチセイ</t>
    </rPh>
    <rPh sb="7" eb="10">
      <t>テイジセイ</t>
    </rPh>
    <rPh sb="18" eb="19">
      <t>コウ</t>
    </rPh>
    <phoneticPr fontId="3"/>
  </si>
  <si>
    <t>全日制と定時制を併置している学校（私立）が１校ある。「学校数」の数値においては、「総数」では１校としてカウントする一方、</t>
    <rPh sb="0" eb="3">
      <t>ゼンニチセイ</t>
    </rPh>
    <rPh sb="4" eb="7">
      <t>テイジセイ</t>
    </rPh>
    <rPh sb="8" eb="10">
      <t>ヘイチ</t>
    </rPh>
    <rPh sb="14" eb="16">
      <t>ガッコウ</t>
    </rPh>
    <rPh sb="17" eb="19">
      <t>シリツ</t>
    </rPh>
    <rPh sb="22" eb="23">
      <t>コウ</t>
    </rPh>
    <rPh sb="27" eb="29">
      <t>ガッコウ</t>
    </rPh>
    <rPh sb="29" eb="30">
      <t>スウ</t>
    </rPh>
    <rPh sb="32" eb="34">
      <t>スウチ</t>
    </rPh>
    <rPh sb="41" eb="43">
      <t>ソウスウ</t>
    </rPh>
    <rPh sb="47" eb="48">
      <t>コウ</t>
    </rPh>
    <rPh sb="57" eb="59">
      <t>イッポウ</t>
    </rPh>
    <phoneticPr fontId="3"/>
  </si>
  <si>
    <t>学年</t>
    <rPh sb="0" eb="2">
      <t>ガクネン</t>
    </rPh>
    <phoneticPr fontId="3"/>
  </si>
  <si>
    <t>３</t>
    <phoneticPr fontId="3"/>
  </si>
  <si>
    <t>２</t>
    <phoneticPr fontId="3"/>
  </si>
  <si>
    <t>１</t>
    <phoneticPr fontId="3"/>
  </si>
  <si>
    <t>学年別</t>
    <rPh sb="0" eb="3">
      <t>ガクネンベツ</t>
    </rPh>
    <phoneticPr fontId="3"/>
  </si>
  <si>
    <t xml:space="preserve">… </t>
    <phoneticPr fontId="3"/>
  </si>
  <si>
    <t>都立</t>
    <rPh sb="0" eb="2">
      <t>トリツ</t>
    </rPh>
    <phoneticPr fontId="3"/>
  </si>
  <si>
    <t>定時制</t>
    <rPh sb="0" eb="3">
      <t>テイジセイ</t>
    </rPh>
    <phoneticPr fontId="3"/>
  </si>
  <si>
    <t>全日制</t>
    <rPh sb="0" eb="3">
      <t>ゼンニチセイ</t>
    </rPh>
    <phoneticPr fontId="3"/>
  </si>
  <si>
    <t>表146　高 等 学 校 数 、 学 級 数 お よ び 生 徒 数</t>
    <rPh sb="5" eb="6">
      <t>コウ</t>
    </rPh>
    <rPh sb="7" eb="8">
      <t>トウ</t>
    </rPh>
    <rPh sb="9" eb="10">
      <t>ガク</t>
    </rPh>
    <rPh sb="11" eb="12">
      <t>コウ</t>
    </rPh>
    <rPh sb="13" eb="14">
      <t>スウ</t>
    </rPh>
    <rPh sb="17" eb="18">
      <t>ガク</t>
    </rPh>
    <rPh sb="19" eb="20">
      <t>キュウ</t>
    </rPh>
    <rPh sb="21" eb="22">
      <t>スウ</t>
    </rPh>
    <rPh sb="29" eb="30">
      <t>セイ</t>
    </rPh>
    <rPh sb="31" eb="32">
      <t>ト</t>
    </rPh>
    <rPh sb="33" eb="34">
      <t>スウ</t>
    </rPh>
    <phoneticPr fontId="3"/>
  </si>
  <si>
    <t>地域文化部スポーツ振興課</t>
    <rPh sb="0" eb="2">
      <t>チイキ</t>
    </rPh>
    <rPh sb="2" eb="4">
      <t>ブンカ</t>
    </rPh>
    <rPh sb="4" eb="5">
      <t>ブ</t>
    </rPh>
    <rPh sb="9" eb="12">
      <t>シンコウカ</t>
    </rPh>
    <phoneticPr fontId="3"/>
  </si>
  <si>
    <t>ス ポ ー ツ
リーダー数</t>
    <rPh sb="12" eb="13">
      <t>スウ</t>
    </rPh>
    <phoneticPr fontId="3"/>
  </si>
  <si>
    <t>生涯学習団体
(人　　　数)</t>
    <rPh sb="0" eb="2">
      <t>ショウガイ</t>
    </rPh>
    <rPh sb="2" eb="4">
      <t>ガクシュウ</t>
    </rPh>
    <rPh sb="4" eb="6">
      <t>ダンタイ</t>
    </rPh>
    <rPh sb="8" eb="9">
      <t>ヒト</t>
    </rPh>
    <rPh sb="12" eb="13">
      <t>スウ</t>
    </rPh>
    <phoneticPr fontId="3"/>
  </si>
  <si>
    <t>生涯学習団体
(届　出　数)</t>
    <rPh sb="0" eb="2">
      <t>ショウガイ</t>
    </rPh>
    <rPh sb="2" eb="4">
      <t>ガクシュウ</t>
    </rPh>
    <rPh sb="4" eb="6">
      <t>ダンタイ</t>
    </rPh>
    <rPh sb="8" eb="9">
      <t>トドケ</t>
    </rPh>
    <rPh sb="10" eb="11">
      <t>デ</t>
    </rPh>
    <rPh sb="12" eb="13">
      <t>カズ</t>
    </rPh>
    <phoneticPr fontId="3"/>
  </si>
  <si>
    <t>スポーツ
教 室 他</t>
    <rPh sb="5" eb="6">
      <t>キョウ</t>
    </rPh>
    <rPh sb="7" eb="8">
      <t>シツ</t>
    </rPh>
    <rPh sb="9" eb="10">
      <t>ホカ</t>
    </rPh>
    <phoneticPr fontId="3"/>
  </si>
  <si>
    <t>わんぱく
キャンプ</t>
    <phoneticPr fontId="3"/>
  </si>
  <si>
    <t>城北地区
対抗競技</t>
    <rPh sb="0" eb="2">
      <t>ジョウホク</t>
    </rPh>
    <rPh sb="2" eb="4">
      <t>チク</t>
    </rPh>
    <rPh sb="5" eb="7">
      <t>タイコウ</t>
    </rPh>
    <rPh sb="7" eb="9">
      <t>キョウギ</t>
    </rPh>
    <phoneticPr fontId="3"/>
  </si>
  <si>
    <t>区民体育大会</t>
    <rPh sb="0" eb="2">
      <t>クミン</t>
    </rPh>
    <rPh sb="2" eb="4">
      <t>タイイク</t>
    </rPh>
    <rPh sb="4" eb="6">
      <t>タイカイ</t>
    </rPh>
    <phoneticPr fontId="3"/>
  </si>
  <si>
    <t>表149　各　種　ス　ポ　ー　ツ　事　業　参　加　人　数</t>
    <rPh sb="5" eb="6">
      <t>カク</t>
    </rPh>
    <rPh sb="7" eb="8">
      <t>シュ</t>
    </rPh>
    <rPh sb="17" eb="18">
      <t>ジ</t>
    </rPh>
    <rPh sb="19" eb="20">
      <t>ギョウ</t>
    </rPh>
    <rPh sb="21" eb="22">
      <t>サン</t>
    </rPh>
    <rPh sb="23" eb="24">
      <t>カ</t>
    </rPh>
    <rPh sb="25" eb="26">
      <t>ニン</t>
    </rPh>
    <rPh sb="27" eb="28">
      <t>スウ</t>
    </rPh>
    <phoneticPr fontId="3"/>
  </si>
  <si>
    <t>こども家庭部子育て支援課、地域文化部スポーツ振興課</t>
    <rPh sb="3" eb="5">
      <t>カテイ</t>
    </rPh>
    <rPh sb="5" eb="6">
      <t>ブ</t>
    </rPh>
    <rPh sb="6" eb="8">
      <t>コソダ</t>
    </rPh>
    <rPh sb="9" eb="11">
      <t>シエン</t>
    </rPh>
    <rPh sb="11" eb="12">
      <t>カ</t>
    </rPh>
    <rPh sb="13" eb="15">
      <t>チイキ</t>
    </rPh>
    <rPh sb="15" eb="17">
      <t>ブンカ</t>
    </rPh>
    <rPh sb="17" eb="18">
      <t>ブ</t>
    </rPh>
    <rPh sb="22" eb="25">
      <t>シンコウカ</t>
    </rPh>
    <phoneticPr fontId="3"/>
  </si>
  <si>
    <t>利用人数</t>
    <rPh sb="0" eb="2">
      <t>リヨウ</t>
    </rPh>
    <rPh sb="2" eb="4">
      <t>ニンズウ</t>
    </rPh>
    <phoneticPr fontId="3"/>
  </si>
  <si>
    <t>開放学校数</t>
    <rPh sb="0" eb="2">
      <t>カイホウ</t>
    </rPh>
    <rPh sb="2" eb="4">
      <t>ガッコウ</t>
    </rPh>
    <rPh sb="4" eb="5">
      <t>スウ</t>
    </rPh>
    <phoneticPr fontId="3"/>
  </si>
  <si>
    <t>学校プール開放</t>
    <rPh sb="0" eb="2">
      <t>ガッコウ</t>
    </rPh>
    <rPh sb="5" eb="7">
      <t>カイホウ</t>
    </rPh>
    <phoneticPr fontId="3"/>
  </si>
  <si>
    <t>個人</t>
    <rPh sb="0" eb="2">
      <t>コジン</t>
    </rPh>
    <phoneticPr fontId="3"/>
  </si>
  <si>
    <t>団体</t>
    <rPh sb="0" eb="2">
      <t>ダンタイ</t>
    </rPh>
    <phoneticPr fontId="3"/>
  </si>
  <si>
    <t>利用件数</t>
    <rPh sb="0" eb="2">
      <t>リヨウ</t>
    </rPh>
    <rPh sb="2" eb="4">
      <t>ケンスウ</t>
    </rPh>
    <phoneticPr fontId="3"/>
  </si>
  <si>
    <t>開　　放
小学校数</t>
    <rPh sb="0" eb="1">
      <t>カイ</t>
    </rPh>
    <rPh sb="3" eb="4">
      <t>ホウ</t>
    </rPh>
    <rPh sb="5" eb="8">
      <t>ショウガッコウ</t>
    </rPh>
    <rPh sb="8" eb="9">
      <t>スウ</t>
    </rPh>
    <phoneticPr fontId="3"/>
  </si>
  <si>
    <t>学校体育館開放</t>
    <rPh sb="0" eb="2">
      <t>ガッコウ</t>
    </rPh>
    <rPh sb="2" eb="4">
      <t>タイイク</t>
    </rPh>
    <rPh sb="4" eb="5">
      <t>カン</t>
    </rPh>
    <rPh sb="5" eb="7">
      <t>カイホウ</t>
    </rPh>
    <phoneticPr fontId="3"/>
  </si>
  <si>
    <t>教室開放</t>
    <rPh sb="0" eb="2">
      <t>キョウシツ</t>
    </rPh>
    <rPh sb="2" eb="4">
      <t>カイホウ</t>
    </rPh>
    <phoneticPr fontId="3"/>
  </si>
  <si>
    <t>延　　べ
開放日数</t>
    <rPh sb="0" eb="1">
      <t>ノ</t>
    </rPh>
    <rPh sb="5" eb="7">
      <t>カイホウ</t>
    </rPh>
    <rPh sb="7" eb="9">
      <t>ニッスウ</t>
    </rPh>
    <phoneticPr fontId="3"/>
  </si>
  <si>
    <t>貸出冊数</t>
    <rPh sb="0" eb="2">
      <t>カシダシ</t>
    </rPh>
    <rPh sb="2" eb="4">
      <t>サツスウ</t>
    </rPh>
    <phoneticPr fontId="3"/>
  </si>
  <si>
    <t>蔵書冊数</t>
    <rPh sb="0" eb="2">
      <t>ゾウショ</t>
    </rPh>
    <rPh sb="2" eb="4">
      <t>サツスウ</t>
    </rPh>
    <phoneticPr fontId="3"/>
  </si>
  <si>
    <t>校庭開放</t>
    <rPh sb="0" eb="2">
      <t>コウテイ</t>
    </rPh>
    <rPh sb="2" eb="4">
      <t>カイホウ</t>
    </rPh>
    <phoneticPr fontId="3"/>
  </si>
  <si>
    <t>学校図書館開放</t>
    <rPh sb="0" eb="2">
      <t>ガッコウ</t>
    </rPh>
    <rPh sb="2" eb="5">
      <t>トショカン</t>
    </rPh>
    <rPh sb="5" eb="7">
      <t>カイホウ</t>
    </rPh>
    <phoneticPr fontId="3"/>
  </si>
  <si>
    <t>表148　学　　校　　開　　放　　状　　況</t>
    <rPh sb="5" eb="6">
      <t>ガク</t>
    </rPh>
    <rPh sb="8" eb="9">
      <t>コウ</t>
    </rPh>
    <rPh sb="11" eb="12">
      <t>カイ</t>
    </rPh>
    <rPh sb="14" eb="15">
      <t>ホウ</t>
    </rPh>
    <rPh sb="17" eb="18">
      <t>ジョウ</t>
    </rPh>
    <rPh sb="20" eb="21">
      <t>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</si>
</sst>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¥&quot;#,##0;[Red]&quot;¥&quot;\-#,##0"/>
    <numFmt numFmtId="176" formatCode="#,##0\ ;&quot;△&quot;#,##0\ ;&quot;－ &quot;"/>
    <numFmt numFmtId="177" formatCode="0_);\(0\)"/>
    <numFmt numFmtId="178" formatCode="#,##0_ "/>
    <numFmt numFmtId="179" formatCode="#,##0_);\(#,##0\)"/>
    <numFmt numFmtId="180" formatCode="#,##0\ ;&quot;△ &quot;#,##0\ ;&quot;－&quot;"/>
    <numFmt numFmtId="181" formatCode="##.0\ ;&quot;△ &quot;##.0\ ;&quot;－&quot;"/>
    <numFmt numFmtId="182" formatCode="#,##0\ ;&quot;△ &quot;#,##0\ ;&quot;－ &quot;"/>
    <numFmt numFmtId="183" formatCode="#,##0_);[Red]\(#,##0\)"/>
    <numFmt numFmtId="184" formatCode="#,##0\ ;&quot;△&quot;#,##0\ ;&quot;－&quot;"/>
    <numFmt numFmtId="185" formatCode="#,##0.00_);\(#,##0.00\)"/>
    <numFmt numFmtId="186" formatCode="##.#0\ ;&quot;△ &quot;###.0\ ;&quot;－&quot;"/>
    <numFmt numFmtId="187" formatCode="&quot;福祉・教育・社会保障　&quot;#"/>
    <numFmt numFmtId="188" formatCode="#&quot;　福祉・教育・社会保障&quot;"/>
    <numFmt numFmtId="189" formatCode="&quot;（&quot;#&quot;）&quot;"/>
    <numFmt numFmtId="190" formatCode="#,##0.0_);\(#,##0.0\)"/>
    <numFmt numFmtId="191" formatCode="#,##0.00_);[Red]\(#,##0.00\)"/>
    <numFmt numFmtId="192" formatCode="#,##0.0_);[Red]\(#,##0.0\)"/>
    <numFmt numFmtId="193" formatCode="#,##0.0_ "/>
    <numFmt numFmtId="194" formatCode="&quot;(&quot;#&quot;) &quot;"/>
    <numFmt numFmtId="195" formatCode="0.0_);[Red]\(0.0\)"/>
    <numFmt numFmtId="196" formatCode="#,##0.0\ ;&quot;△&quot;#,##0.0\ ;&quot;－ &quot;"/>
  </numFmts>
  <fonts count="5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trike/>
      <sz val="9"/>
      <name val="ＭＳ Ｐ明朝"/>
      <family val="1"/>
      <charset val="128"/>
    </font>
    <font>
      <strike/>
      <sz val="11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3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22"/>
      <color theme="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8.5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.5"/>
      <color theme="1"/>
      <name val="ＭＳ Ｐ明朝"/>
      <family val="1"/>
      <charset val="128"/>
    </font>
    <font>
      <sz val="7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67955565050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theme="0" tint="-0.34998626667073579"/>
      </right>
      <top/>
      <bottom/>
      <diagonal/>
    </border>
    <border>
      <left style="hair">
        <color indexed="64"/>
      </left>
      <right style="dotted">
        <color theme="0" tint="-0.34998626667073579"/>
      </right>
      <top/>
      <bottom/>
      <diagonal/>
    </border>
    <border>
      <left/>
      <right style="dotted">
        <color theme="0" tint="-0.3499862666707357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38" fontId="1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0" fillId="0" borderId="0"/>
    <xf numFmtId="0" fontId="16" fillId="0" borderId="0">
      <alignment vertical="center"/>
    </xf>
    <xf numFmtId="0" fontId="11" fillId="0" borderId="0"/>
    <xf numFmtId="0" fontId="2" fillId="0" borderId="0">
      <alignment vertical="center"/>
    </xf>
    <xf numFmtId="0" fontId="20" fillId="0" borderId="0"/>
    <xf numFmtId="0" fontId="1" fillId="0" borderId="0">
      <alignment vertical="center"/>
    </xf>
    <xf numFmtId="6" fontId="11" fillId="0" borderId="0" applyFont="0" applyFill="0" applyBorder="0" applyAlignment="0" applyProtection="0"/>
    <xf numFmtId="0" fontId="1" fillId="0" borderId="0">
      <alignment vertical="center"/>
    </xf>
    <xf numFmtId="0" fontId="46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883">
    <xf numFmtId="0" fontId="0" fillId="0" borderId="0" xfId="0"/>
    <xf numFmtId="0" fontId="0" fillId="0" borderId="1" xfId="0" applyBorder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/>
    <xf numFmtId="0" fontId="22" fillId="0" borderId="0" xfId="0" applyFont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 justifyLastLine="1"/>
    </xf>
    <xf numFmtId="0" fontId="4" fillId="0" borderId="0" xfId="0" applyFont="1" applyFill="1" applyBorder="1" applyAlignment="1">
      <alignment vertical="center"/>
    </xf>
    <xf numFmtId="0" fontId="20" fillId="0" borderId="0" xfId="4"/>
    <xf numFmtId="0" fontId="20" fillId="0" borderId="1" xfId="4" applyBorder="1"/>
    <xf numFmtId="0" fontId="22" fillId="0" borderId="0" xfId="4" applyFont="1" applyAlignment="1">
      <alignment horizontal="center" vertical="center"/>
    </xf>
    <xf numFmtId="0" fontId="21" fillId="0" borderId="0" xfId="4" applyFont="1" applyAlignment="1">
      <alignment vertical="center"/>
    </xf>
    <xf numFmtId="0" fontId="22" fillId="0" borderId="0" xfId="4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0" fillId="0" borderId="3" xfId="4" applyBorder="1"/>
    <xf numFmtId="0" fontId="20" fillId="0" borderId="4" xfId="4" applyBorder="1"/>
    <xf numFmtId="0" fontId="20" fillId="0" borderId="5" xfId="4" applyBorder="1"/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8" xfId="0" applyBorder="1"/>
    <xf numFmtId="0" fontId="22" fillId="0" borderId="3" xfId="0" applyFont="1" applyBorder="1" applyAlignment="1">
      <alignment horizontal="distributed" vertical="center" justifyLastLine="1"/>
    </xf>
    <xf numFmtId="0" fontId="22" fillId="0" borderId="0" xfId="0" applyFont="1" applyBorder="1" applyAlignment="1">
      <alignment horizontal="distributed" vertical="center" justifyLastLine="1"/>
    </xf>
    <xf numFmtId="0" fontId="4" fillId="0" borderId="4" xfId="0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176" fontId="22" fillId="0" borderId="0" xfId="0" applyNumberFormat="1" applyFont="1" applyBorder="1" applyAlignment="1">
      <alignment vertical="center"/>
    </xf>
    <xf numFmtId="0" fontId="22" fillId="0" borderId="0" xfId="4" applyFont="1" applyAlignment="1">
      <alignment horizontal="center" vertical="center"/>
    </xf>
    <xf numFmtId="0" fontId="22" fillId="0" borderId="2" xfId="0" applyFont="1" applyBorder="1" applyAlignment="1">
      <alignment horizontal="distributed" vertical="center" wrapText="1" justifyLastLine="1"/>
    </xf>
    <xf numFmtId="0" fontId="22" fillId="0" borderId="0" xfId="0" applyFont="1" applyAlignment="1">
      <alignment vertical="center"/>
    </xf>
    <xf numFmtId="0" fontId="20" fillId="0" borderId="0" xfId="4" applyAlignment="1"/>
    <xf numFmtId="0" fontId="20" fillId="0" borderId="0" xfId="4" applyBorder="1" applyAlignment="1"/>
    <xf numFmtId="0" fontId="20" fillId="0" borderId="3" xfId="4" applyBorder="1" applyAlignment="1"/>
    <xf numFmtId="0" fontId="20" fillId="0" borderId="4" xfId="4" applyBorder="1" applyAlignment="1"/>
    <xf numFmtId="0" fontId="20" fillId="0" borderId="0" xfId="4" applyFill="1" applyAlignment="1"/>
    <xf numFmtId="0" fontId="20" fillId="0" borderId="4" xfId="4" applyFill="1" applyBorder="1" applyAlignment="1"/>
    <xf numFmtId="0" fontId="20" fillId="0" borderId="1" xfId="4" applyBorder="1" applyAlignment="1"/>
    <xf numFmtId="0" fontId="20" fillId="0" borderId="5" xfId="4" applyBorder="1" applyAlignment="1"/>
    <xf numFmtId="0" fontId="22" fillId="0" borderId="0" xfId="0" applyFont="1" applyBorder="1" applyAlignment="1">
      <alignment vertical="center" justifyLastLine="1"/>
    </xf>
    <xf numFmtId="0" fontId="0" fillId="0" borderId="9" xfId="0" applyBorder="1" applyAlignment="1"/>
    <xf numFmtId="0" fontId="0" fillId="0" borderId="8" xfId="0" applyBorder="1" applyAlignment="1"/>
    <xf numFmtId="0" fontId="0" fillId="0" borderId="11" xfId="0" applyBorder="1" applyAlignment="1"/>
    <xf numFmtId="0" fontId="0" fillId="0" borderId="1" xfId="0" applyBorder="1" applyAlignment="1"/>
    <xf numFmtId="177" fontId="21" fillId="0" borderId="2" xfId="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7" fontId="21" fillId="0" borderId="2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76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11" fillId="0" borderId="0" xfId="3" applyFill="1" applyBorder="1" applyAlignment="1">
      <alignment horizontal="left" vertical="top"/>
    </xf>
    <xf numFmtId="0" fontId="11" fillId="0" borderId="0" xfId="3" applyFill="1" applyBorder="1" applyAlignment="1">
      <alignment horizontal="center" vertical="center"/>
    </xf>
    <xf numFmtId="0" fontId="4" fillId="0" borderId="0" xfId="3" applyFont="1" applyFill="1" applyBorder="1" applyAlignment="1">
      <alignment vertical="center"/>
    </xf>
    <xf numFmtId="49" fontId="4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4" fillId="0" borderId="0" xfId="3" applyFont="1" applyFill="1" applyAlignment="1">
      <alignment horizontal="distributed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/>
    </xf>
    <xf numFmtId="0" fontId="4" fillId="0" borderId="5" xfId="3" applyFont="1" applyFill="1" applyBorder="1" applyAlignment="1">
      <alignment vertical="center"/>
    </xf>
    <xf numFmtId="0" fontId="4" fillId="0" borderId="1" xfId="3" applyFont="1" applyFill="1" applyBorder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vertical="center"/>
    </xf>
    <xf numFmtId="0" fontId="4" fillId="0" borderId="0" xfId="3" applyFont="1" applyFill="1" applyBorder="1" applyAlignment="1">
      <alignment horizontal="distributed" vertical="center" justifyLastLine="1"/>
    </xf>
    <xf numFmtId="0" fontId="4" fillId="0" borderId="3" xfId="3" applyFont="1" applyFill="1" applyBorder="1" applyAlignment="1">
      <alignment vertical="center"/>
    </xf>
    <xf numFmtId="49" fontId="4" fillId="0" borderId="1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distributed" vertical="center"/>
    </xf>
    <xf numFmtId="181" fontId="4" fillId="0" borderId="1" xfId="3" applyNumberFormat="1" applyFont="1" applyBorder="1" applyAlignment="1">
      <alignment horizontal="right" vertical="center"/>
    </xf>
    <xf numFmtId="0" fontId="4" fillId="0" borderId="1" xfId="3" applyFont="1" applyBorder="1" applyAlignment="1">
      <alignment horizontal="center" vertical="center" justifyLastLine="1"/>
    </xf>
    <xf numFmtId="38" fontId="4" fillId="0" borderId="1" xfId="1" applyFont="1" applyBorder="1" applyAlignment="1">
      <alignment horizontal="center" vertical="center" justifyLastLine="1"/>
    </xf>
    <xf numFmtId="0" fontId="4" fillId="0" borderId="5" xfId="3" applyFont="1" applyBorder="1" applyAlignment="1">
      <alignment horizontal="distributed" vertical="center" justifyLastLine="1"/>
    </xf>
    <xf numFmtId="0" fontId="4" fillId="0" borderId="1" xfId="3" applyFont="1" applyBorder="1" applyAlignment="1">
      <alignment horizontal="distributed" vertical="center" justifyLastLine="1"/>
    </xf>
    <xf numFmtId="0" fontId="4" fillId="0" borderId="1" xfId="3" applyFont="1" applyBorder="1" applyAlignment="1">
      <alignment vertical="center" justifyLastLine="1"/>
    </xf>
    <xf numFmtId="0" fontId="5" fillId="0" borderId="4" xfId="3" applyFont="1" applyBorder="1" applyAlignment="1">
      <alignment horizontal="distributed" vertical="center" justifyLastLine="1"/>
    </xf>
    <xf numFmtId="0" fontId="5" fillId="0" borderId="0" xfId="3" applyFont="1" applyBorder="1" applyAlignment="1">
      <alignment horizontal="distributed" vertical="center" justifyLastLine="1"/>
    </xf>
    <xf numFmtId="0" fontId="5" fillId="0" borderId="0" xfId="3" applyFont="1" applyBorder="1" applyAlignment="1">
      <alignment vertical="center" justifyLastLine="1"/>
    </xf>
    <xf numFmtId="0" fontId="4" fillId="0" borderId="0" xfId="3" applyFont="1" applyBorder="1" applyAlignment="1">
      <alignment horizontal="center" vertical="center" justifyLastLine="1"/>
    </xf>
    <xf numFmtId="0" fontId="4" fillId="0" borderId="4" xfId="3" applyFont="1" applyBorder="1" applyAlignment="1">
      <alignment horizontal="distributed" vertical="center" justifyLastLine="1"/>
    </xf>
    <xf numFmtId="0" fontId="4" fillId="0" borderId="0" xfId="3" applyFont="1" applyBorder="1" applyAlignment="1">
      <alignment vertical="center" justifyLastLine="1"/>
    </xf>
    <xf numFmtId="0" fontId="4" fillId="0" borderId="0" xfId="3" applyFont="1" applyBorder="1" applyAlignment="1">
      <alignment horizontal="distributed" vertical="center" justifyLastLine="1"/>
    </xf>
    <xf numFmtId="0" fontId="4" fillId="0" borderId="3" xfId="3" applyFont="1" applyBorder="1" applyAlignment="1">
      <alignment horizontal="distributed" vertical="center" justifyLastLine="1"/>
    </xf>
    <xf numFmtId="0" fontId="4" fillId="0" borderId="2" xfId="3" applyFont="1" applyFill="1" applyBorder="1" applyAlignment="1">
      <alignment vertical="center"/>
    </xf>
    <xf numFmtId="0" fontId="4" fillId="0" borderId="0" xfId="3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right" vertical="center"/>
    </xf>
    <xf numFmtId="0" fontId="16" fillId="0" borderId="0" xfId="3" applyFont="1" applyFill="1" applyAlignment="1">
      <alignment vertical="center"/>
    </xf>
    <xf numFmtId="0" fontId="16" fillId="0" borderId="0" xfId="3" applyFont="1" applyFill="1" applyAlignment="1">
      <alignment horizontal="center" vertical="center"/>
    </xf>
    <xf numFmtId="0" fontId="4" fillId="0" borderId="8" xfId="3" applyFont="1" applyFill="1" applyBorder="1" applyAlignment="1">
      <alignment vertical="center"/>
    </xf>
    <xf numFmtId="0" fontId="4" fillId="0" borderId="8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distributed" vertical="center"/>
    </xf>
    <xf numFmtId="184" fontId="5" fillId="0" borderId="0" xfId="3" applyNumberFormat="1" applyFont="1" applyFill="1" applyBorder="1" applyAlignment="1">
      <alignment vertical="center"/>
    </xf>
    <xf numFmtId="182" fontId="4" fillId="0" borderId="0" xfId="3" applyNumberFormat="1" applyFont="1" applyFill="1" applyBorder="1" applyAlignment="1">
      <alignment vertical="center"/>
    </xf>
    <xf numFmtId="0" fontId="5" fillId="0" borderId="0" xfId="3" applyFont="1" applyFill="1" applyAlignment="1">
      <alignment horizontal="right" vertical="center"/>
    </xf>
    <xf numFmtId="0" fontId="5" fillId="0" borderId="4" xfId="3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 vertical="center"/>
    </xf>
    <xf numFmtId="0" fontId="4" fillId="0" borderId="0" xfId="3" applyFont="1" applyFill="1" applyAlignment="1">
      <alignment horizontal="right" vertical="center"/>
    </xf>
    <xf numFmtId="0" fontId="4" fillId="0" borderId="4" xfId="3" applyFont="1" applyFill="1" applyBorder="1" applyAlignment="1">
      <alignment horizontal="right"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>
      <alignment vertical="center" justifyLastLine="1"/>
    </xf>
    <xf numFmtId="3" fontId="5" fillId="0" borderId="0" xfId="3" applyNumberFormat="1" applyFont="1" applyFill="1" applyAlignment="1">
      <alignment horizontal="right" vertical="center"/>
    </xf>
    <xf numFmtId="3" fontId="4" fillId="0" borderId="0" xfId="3" applyNumberFormat="1" applyFont="1" applyFill="1" applyAlignment="1">
      <alignment horizontal="right" vertical="center"/>
    </xf>
    <xf numFmtId="182" fontId="5" fillId="0" borderId="0" xfId="3" applyNumberFormat="1" applyFont="1" applyFill="1" applyAlignment="1">
      <alignment horizontal="right" vertical="center"/>
    </xf>
    <xf numFmtId="182" fontId="4" fillId="0" borderId="0" xfId="3" applyNumberFormat="1" applyFont="1" applyFill="1" applyAlignment="1">
      <alignment horizontal="right" vertical="center"/>
    </xf>
    <xf numFmtId="49" fontId="4" fillId="0" borderId="2" xfId="3" applyNumberFormat="1" applyFont="1" applyFill="1" applyBorder="1" applyAlignment="1">
      <alignment horizontal="center" vertical="center"/>
    </xf>
    <xf numFmtId="3" fontId="5" fillId="0" borderId="0" xfId="3" applyNumberFormat="1" applyFont="1" applyFill="1" applyAlignment="1">
      <alignment vertical="center"/>
    </xf>
    <xf numFmtId="3" fontId="4" fillId="0" borderId="0" xfId="3" applyNumberFormat="1" applyFont="1" applyFill="1" applyAlignment="1">
      <alignment vertical="center"/>
    </xf>
    <xf numFmtId="0" fontId="4" fillId="0" borderId="2" xfId="3" applyFont="1" applyFill="1" applyBorder="1" applyAlignment="1">
      <alignment horizontal="distributed" vertical="center" justifyLastLine="1"/>
    </xf>
    <xf numFmtId="0" fontId="22" fillId="0" borderId="1" xfId="0" applyFont="1" applyBorder="1" applyAlignment="1">
      <alignment horizontal="left" vertical="center"/>
    </xf>
    <xf numFmtId="0" fontId="17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0" fillId="0" borderId="0" xfId="0" applyBorder="1" applyAlignment="1">
      <alignment horizontal="distributed" vertical="center" justifyLastLine="1"/>
    </xf>
    <xf numFmtId="0" fontId="4" fillId="0" borderId="0" xfId="3" applyFont="1" applyFill="1" applyBorder="1" applyAlignment="1">
      <alignment horizontal="distributed" vertical="center" wrapText="1" justifyLastLine="1"/>
    </xf>
    <xf numFmtId="0" fontId="9" fillId="0" borderId="0" xfId="3" applyFont="1" applyFill="1" applyBorder="1" applyAlignment="1">
      <alignment horizontal="distributed" vertical="center" wrapText="1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5" fillId="0" borderId="4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1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 justifyLastLine="1"/>
    </xf>
    <xf numFmtId="17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3" applyFont="1" applyFill="1" applyAlignment="1">
      <alignment vertical="top"/>
    </xf>
    <xf numFmtId="0" fontId="0" fillId="0" borderId="0" xfId="0" applyAlignment="1">
      <alignment vertical="top"/>
    </xf>
    <xf numFmtId="0" fontId="20" fillId="0" borderId="0" xfId="4" applyAlignment="1">
      <alignment vertical="top"/>
    </xf>
    <xf numFmtId="187" fontId="24" fillId="0" borderId="0" xfId="0" applyNumberFormat="1" applyFont="1" applyAlignment="1">
      <alignment vertical="top"/>
    </xf>
    <xf numFmtId="187" fontId="19" fillId="0" borderId="0" xfId="3" applyNumberFormat="1" applyFont="1" applyFill="1" applyAlignment="1">
      <alignment vertical="top"/>
    </xf>
    <xf numFmtId="0" fontId="0" fillId="0" borderId="1" xfId="0" applyFill="1" applyBorder="1"/>
    <xf numFmtId="187" fontId="24" fillId="0" borderId="0" xfId="0" applyNumberFormat="1" applyFont="1" applyAlignment="1">
      <alignment horizontal="right" vertical="top"/>
    </xf>
    <xf numFmtId="188" fontId="24" fillId="0" borderId="0" xfId="0" applyNumberFormat="1" applyFont="1" applyAlignment="1">
      <alignment horizontal="left" vertical="top"/>
    </xf>
    <xf numFmtId="0" fontId="22" fillId="0" borderId="0" xfId="0" applyFont="1" applyAlignment="1">
      <alignment vertical="center"/>
    </xf>
    <xf numFmtId="0" fontId="0" fillId="0" borderId="0" xfId="0" applyAlignment="1"/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4" fillId="0" borderId="0" xfId="3" applyFont="1" applyFill="1" applyAlignment="1">
      <alignment horizontal="distributed" vertical="center"/>
    </xf>
    <xf numFmtId="0" fontId="5" fillId="0" borderId="0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distributed" vertical="center"/>
    </xf>
    <xf numFmtId="0" fontId="0" fillId="0" borderId="0" xfId="0" applyFont="1"/>
    <xf numFmtId="0" fontId="0" fillId="0" borderId="0" xfId="0" applyFont="1" applyBorder="1"/>
    <xf numFmtId="189" fontId="0" fillId="0" borderId="0" xfId="0" applyNumberForma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27" fillId="0" borderId="0" xfId="5" applyFont="1" applyFill="1" applyBorder="1" applyAlignment="1">
      <alignment vertical="center" textRotation="255"/>
    </xf>
    <xf numFmtId="0" fontId="28" fillId="0" borderId="0" xfId="0" applyFont="1" applyFill="1" applyBorder="1" applyAlignment="1">
      <alignment vertical="center" textRotation="255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30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31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27" fillId="0" borderId="0" xfId="0" applyFont="1" applyFill="1" applyBorder="1" applyAlignment="1">
      <alignment vertical="distributed" textRotation="255" wrapText="1" indent="4"/>
    </xf>
    <xf numFmtId="0" fontId="28" fillId="0" borderId="0" xfId="0" applyFont="1" applyFill="1" applyBorder="1" applyAlignment="1">
      <alignment vertical="distributed" textRotation="255" indent="4"/>
    </xf>
    <xf numFmtId="0" fontId="29" fillId="0" borderId="2" xfId="0" applyFont="1" applyFill="1" applyBorder="1" applyAlignment="1">
      <alignment vertical="center"/>
    </xf>
    <xf numFmtId="0" fontId="34" fillId="0" borderId="0" xfId="0" applyFont="1" applyFill="1" applyBorder="1" applyAlignment="1"/>
    <xf numFmtId="0" fontId="27" fillId="0" borderId="0" xfId="0" applyFont="1" applyFill="1" applyBorder="1" applyAlignment="1">
      <alignment vertical="distributed" textRotation="255" wrapText="1" justifyLastLine="1"/>
    </xf>
    <xf numFmtId="0" fontId="28" fillId="0" borderId="0" xfId="0" applyFont="1" applyFill="1" applyBorder="1" applyAlignment="1">
      <alignment vertical="distributed" textRotation="255" justifyLastLine="1"/>
    </xf>
    <xf numFmtId="0" fontId="27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4" fillId="0" borderId="7" xfId="3" applyFont="1" applyFill="1" applyBorder="1" applyAlignment="1">
      <alignment vertical="center"/>
    </xf>
    <xf numFmtId="0" fontId="4" fillId="0" borderId="10" xfId="3" applyFont="1" applyFill="1" applyBorder="1" applyAlignment="1">
      <alignment vertical="center"/>
    </xf>
    <xf numFmtId="187" fontId="24" fillId="0" borderId="0" xfId="0" applyNumberFormat="1" applyFont="1" applyAlignment="1">
      <alignment horizontal="right" vertical="top"/>
    </xf>
    <xf numFmtId="0" fontId="22" fillId="0" borderId="0" xfId="4" applyFont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 justifyLastLine="1"/>
    </xf>
    <xf numFmtId="0" fontId="35" fillId="0" borderId="0" xfId="0" applyFont="1"/>
    <xf numFmtId="0" fontId="35" fillId="0" borderId="3" xfId="0" applyFont="1" applyBorder="1"/>
    <xf numFmtId="0" fontId="35" fillId="0" borderId="4" xfId="0" applyFont="1" applyBorder="1"/>
    <xf numFmtId="0" fontId="35" fillId="0" borderId="1" xfId="0" applyFont="1" applyBorder="1"/>
    <xf numFmtId="0" fontId="35" fillId="0" borderId="5" xfId="0" applyFont="1" applyBorder="1"/>
    <xf numFmtId="0" fontId="14" fillId="0" borderId="0" xfId="0" applyFont="1" applyAlignment="1">
      <alignment vertical="center"/>
    </xf>
    <xf numFmtId="0" fontId="4" fillId="0" borderId="2" xfId="0" applyFont="1" applyBorder="1" applyAlignment="1">
      <alignment vertical="center" justifyLastLine="1"/>
    </xf>
    <xf numFmtId="0" fontId="4" fillId="0" borderId="13" xfId="0" applyFont="1" applyBorder="1" applyAlignment="1">
      <alignment vertical="center" justifyLastLine="1"/>
    </xf>
    <xf numFmtId="0" fontId="4" fillId="0" borderId="0" xfId="0" applyFont="1" applyBorder="1" applyAlignment="1">
      <alignment vertical="center" justifyLastLine="1"/>
    </xf>
    <xf numFmtId="0" fontId="4" fillId="0" borderId="4" xfId="0" applyFont="1" applyBorder="1" applyAlignment="1">
      <alignment vertical="center" justifyLastLine="1"/>
    </xf>
    <xf numFmtId="0" fontId="4" fillId="0" borderId="7" xfId="0" applyFont="1" applyBorder="1" applyAlignment="1">
      <alignment vertical="center" justifyLastLine="1"/>
    </xf>
    <xf numFmtId="0" fontId="4" fillId="0" borderId="12" xfId="0" applyFont="1" applyBorder="1" applyAlignment="1">
      <alignment vertical="center" justifyLastLine="1"/>
    </xf>
    <xf numFmtId="0" fontId="35" fillId="0" borderId="0" xfId="0" applyFont="1" applyBorder="1"/>
    <xf numFmtId="0" fontId="4" fillId="0" borderId="0" xfId="0" applyFont="1"/>
    <xf numFmtId="0" fontId="4" fillId="0" borderId="4" xfId="0" applyFont="1" applyBorder="1"/>
    <xf numFmtId="0" fontId="14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distributed" vertical="center" justifyLastLine="1"/>
    </xf>
    <xf numFmtId="0" fontId="22" fillId="0" borderId="8" xfId="4" applyFont="1" applyBorder="1" applyAlignment="1">
      <alignment vertical="center"/>
    </xf>
    <xf numFmtId="0" fontId="22" fillId="0" borderId="8" xfId="4" applyFont="1" applyBorder="1" applyAlignment="1">
      <alignment horizontal="center" vertical="center"/>
    </xf>
    <xf numFmtId="0" fontId="22" fillId="0" borderId="8" xfId="4" applyFont="1" applyBorder="1" applyAlignment="1">
      <alignment horizontal="right" vertical="center"/>
    </xf>
    <xf numFmtId="0" fontId="22" fillId="0" borderId="9" xfId="4" applyFont="1" applyBorder="1" applyAlignment="1"/>
    <xf numFmtId="0" fontId="22" fillId="0" borderId="8" xfId="4" applyFont="1" applyBorder="1" applyAlignment="1"/>
    <xf numFmtId="0" fontId="22" fillId="0" borderId="8" xfId="4" applyFont="1" applyBorder="1" applyAlignment="1">
      <alignment horizontal="right"/>
    </xf>
    <xf numFmtId="0" fontId="4" fillId="0" borderId="9" xfId="4" applyFont="1" applyBorder="1" applyAlignment="1"/>
    <xf numFmtId="0" fontId="4" fillId="0" borderId="8" xfId="4" applyFont="1" applyBorder="1" applyAlignment="1">
      <alignment vertical="center"/>
    </xf>
    <xf numFmtId="0" fontId="4" fillId="0" borderId="8" xfId="4" applyFont="1" applyBorder="1" applyAlignment="1">
      <alignment horizontal="center" vertical="center"/>
    </xf>
    <xf numFmtId="0" fontId="4" fillId="0" borderId="8" xfId="4" applyFont="1" applyBorder="1" applyAlignment="1">
      <alignment horizontal="right" vertical="center"/>
    </xf>
    <xf numFmtId="0" fontId="4" fillId="0" borderId="8" xfId="4" applyFont="1" applyBorder="1" applyAlignment="1"/>
    <xf numFmtId="0" fontId="4" fillId="0" borderId="8" xfId="4" applyFont="1" applyBorder="1" applyAlignment="1">
      <alignment horizontal="right"/>
    </xf>
    <xf numFmtId="0" fontId="35" fillId="0" borderId="1" xfId="0" applyFont="1" applyBorder="1" applyAlignment="1"/>
    <xf numFmtId="177" fontId="38" fillId="0" borderId="2" xfId="0" applyNumberFormat="1" applyFont="1" applyBorder="1" applyAlignment="1">
      <alignment vertical="center"/>
    </xf>
    <xf numFmtId="177" fontId="14" fillId="0" borderId="0" xfId="0" applyNumberFormat="1" applyFont="1" applyAlignment="1">
      <alignment vertical="center"/>
    </xf>
    <xf numFmtId="177" fontId="14" fillId="0" borderId="2" xfId="0" applyNumberFormat="1" applyFont="1" applyBorder="1" applyAlignment="1">
      <alignment vertical="center"/>
    </xf>
    <xf numFmtId="0" fontId="39" fillId="0" borderId="0" xfId="0" applyFont="1"/>
    <xf numFmtId="177" fontId="14" fillId="0" borderId="0" xfId="0" applyNumberFormat="1" applyFont="1" applyBorder="1" applyAlignment="1">
      <alignment vertical="center"/>
    </xf>
    <xf numFmtId="187" fontId="24" fillId="0" borderId="0" xfId="0" applyNumberFormat="1" applyFont="1" applyAlignment="1">
      <alignment horizontal="right" vertical="top"/>
    </xf>
    <xf numFmtId="0" fontId="22" fillId="0" borderId="0" xfId="0" applyFont="1" applyAlignment="1">
      <alignment horizontal="center" vertical="center"/>
    </xf>
    <xf numFmtId="176" fontId="22" fillId="0" borderId="0" xfId="0" applyNumberFormat="1" applyFont="1" applyBorder="1" applyAlignment="1">
      <alignment vertical="center"/>
    </xf>
    <xf numFmtId="0" fontId="22" fillId="0" borderId="0" xfId="4" applyFont="1" applyAlignment="1">
      <alignment horizontal="center" vertical="center"/>
    </xf>
    <xf numFmtId="0" fontId="0" fillId="0" borderId="0" xfId="0" applyAlignment="1"/>
    <xf numFmtId="0" fontId="42" fillId="0" borderId="0" xfId="0" applyFont="1"/>
    <xf numFmtId="0" fontId="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22" fillId="0" borderId="0" xfId="0" applyFont="1" applyBorder="1" applyAlignment="1">
      <alignment horizontal="center" vertical="center"/>
    </xf>
    <xf numFmtId="0" fontId="35" fillId="0" borderId="0" xfId="0" applyFont="1" applyAlignment="1"/>
    <xf numFmtId="0" fontId="35" fillId="0" borderId="3" xfId="0" applyFont="1" applyBorder="1" applyAlignment="1"/>
    <xf numFmtId="0" fontId="35" fillId="0" borderId="4" xfId="0" applyFont="1" applyBorder="1" applyAlignment="1"/>
    <xf numFmtId="0" fontId="35" fillId="0" borderId="0" xfId="0" applyFont="1" applyBorder="1" applyAlignment="1"/>
    <xf numFmtId="0" fontId="35" fillId="0" borderId="5" xfId="0" applyFont="1" applyBorder="1" applyAlignment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 justifyLastLine="1"/>
    </xf>
    <xf numFmtId="0" fontId="22" fillId="0" borderId="3" xfId="0" applyFont="1" applyBorder="1" applyAlignment="1">
      <alignment horizontal="distributed" vertical="center" justifyLastLine="1"/>
    </xf>
    <xf numFmtId="0" fontId="4" fillId="0" borderId="0" xfId="3" applyFont="1" applyFill="1" applyAlignment="1">
      <alignment horizontal="center" vertical="center"/>
    </xf>
    <xf numFmtId="0" fontId="4" fillId="0" borderId="0" xfId="3" applyFont="1" applyFill="1" applyAlignment="1">
      <alignment horizontal="distributed" vertical="center"/>
    </xf>
    <xf numFmtId="0" fontId="0" fillId="0" borderId="0" xfId="0" applyAlignment="1"/>
    <xf numFmtId="0" fontId="20" fillId="0" borderId="0" xfId="4" applyFont="1"/>
    <xf numFmtId="0" fontId="29" fillId="0" borderId="0" xfId="8" applyFont="1" applyFill="1" applyBorder="1" applyAlignment="1">
      <alignment vertical="center"/>
    </xf>
    <xf numFmtId="0" fontId="31" fillId="0" borderId="0" xfId="8" applyFont="1" applyFill="1" applyBorder="1" applyAlignment="1">
      <alignment vertical="center" wrapText="1" justifyLastLine="1"/>
    </xf>
    <xf numFmtId="0" fontId="20" fillId="0" borderId="0" xfId="8" applyFont="1" applyFill="1" applyBorder="1" applyAlignment="1">
      <alignment vertical="top"/>
    </xf>
    <xf numFmtId="0" fontId="20" fillId="0" borderId="0" xfId="8" applyFont="1" applyBorder="1"/>
    <xf numFmtId="0" fontId="29" fillId="0" borderId="0" xfId="4" applyFont="1" applyAlignment="1">
      <alignment vertical="center"/>
    </xf>
    <xf numFmtId="0" fontId="35" fillId="0" borderId="26" xfId="0" applyFont="1" applyBorder="1"/>
    <xf numFmtId="0" fontId="35" fillId="0" borderId="28" xfId="0" applyFont="1" applyBorder="1"/>
    <xf numFmtId="180" fontId="4" fillId="0" borderId="26" xfId="0" applyNumberFormat="1" applyFont="1" applyFill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0" fontId="37" fillId="0" borderId="0" xfId="0" applyFont="1"/>
    <xf numFmtId="0" fontId="37" fillId="0" borderId="4" xfId="0" applyFont="1" applyBorder="1"/>
    <xf numFmtId="0" fontId="42" fillId="0" borderId="4" xfId="0" applyFont="1" applyBorder="1"/>
    <xf numFmtId="0" fontId="42" fillId="0" borderId="0" xfId="0" applyFont="1" applyFill="1" applyBorder="1" applyAlignment="1">
      <alignment vertical="center"/>
    </xf>
    <xf numFmtId="0" fontId="42" fillId="0" borderId="0" xfId="0" applyFont="1" applyBorder="1"/>
    <xf numFmtId="0" fontId="18" fillId="0" borderId="0" xfId="0" applyFont="1"/>
    <xf numFmtId="0" fontId="5" fillId="0" borderId="4" xfId="0" applyFont="1" applyBorder="1"/>
    <xf numFmtId="0" fontId="1" fillId="0" borderId="0" xfId="9" applyFont="1" applyAlignment="1"/>
    <xf numFmtId="0" fontId="1" fillId="0" borderId="0" xfId="9" applyFont="1" applyBorder="1" applyAlignment="1"/>
    <xf numFmtId="0" fontId="20" fillId="0" borderId="0" xfId="9" applyFont="1" applyBorder="1" applyAlignment="1"/>
    <xf numFmtId="0" fontId="29" fillId="0" borderId="0" xfId="9" applyFont="1" applyAlignment="1">
      <alignment vertical="center"/>
    </xf>
    <xf numFmtId="0" fontId="1" fillId="0" borderId="0" xfId="9" applyFont="1" applyBorder="1" applyAlignment="1">
      <alignment vertical="top"/>
    </xf>
    <xf numFmtId="0" fontId="20" fillId="0" borderId="0" xfId="9" applyFont="1" applyFill="1" applyBorder="1" applyAlignment="1">
      <alignment vertical="top"/>
    </xf>
    <xf numFmtId="0" fontId="31" fillId="0" borderId="0" xfId="9" applyFont="1" applyFill="1" applyBorder="1" applyAlignment="1">
      <alignment vertical="center" wrapText="1" justifyLastLine="1"/>
    </xf>
    <xf numFmtId="0" fontId="1" fillId="0" borderId="0" xfId="9" applyFont="1" applyBorder="1" applyAlignment="1">
      <alignment vertical="center" wrapText="1" justifyLastLine="1"/>
    </xf>
    <xf numFmtId="0" fontId="29" fillId="0" borderId="0" xfId="9" applyFont="1" applyFill="1" applyBorder="1" applyAlignment="1">
      <alignment vertical="center"/>
    </xf>
    <xf numFmtId="0" fontId="20" fillId="0" borderId="0" xfId="8" applyFont="1" applyFill="1" applyBorder="1"/>
    <xf numFmtId="0" fontId="4" fillId="0" borderId="0" xfId="3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6" fontId="22" fillId="0" borderId="0" xfId="0" applyNumberFormat="1" applyFont="1" applyBorder="1" applyAlignment="1">
      <alignment vertical="center"/>
    </xf>
    <xf numFmtId="187" fontId="24" fillId="0" borderId="0" xfId="0" applyNumberFormat="1" applyFont="1" applyAlignment="1">
      <alignment horizontal="right" vertical="top"/>
    </xf>
    <xf numFmtId="188" fontId="24" fillId="0" borderId="0" xfId="0" applyNumberFormat="1" applyFont="1" applyAlignment="1">
      <alignment horizontal="left" vertical="top"/>
    </xf>
    <xf numFmtId="177" fontId="21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 justifyLastLine="1"/>
    </xf>
    <xf numFmtId="0" fontId="22" fillId="0" borderId="3" xfId="0" applyFont="1" applyBorder="1" applyAlignment="1">
      <alignment horizontal="distributed" vertical="center" justifyLastLine="1"/>
    </xf>
    <xf numFmtId="0" fontId="22" fillId="0" borderId="4" xfId="0" applyFont="1" applyBorder="1" applyAlignment="1">
      <alignment horizontal="distributed" vertical="center" justifyLastLine="1"/>
    </xf>
    <xf numFmtId="0" fontId="0" fillId="0" borderId="0" xfId="0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82" fontId="4" fillId="0" borderId="0" xfId="3" applyNumberFormat="1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14" fillId="0" borderId="0" xfId="0" applyFont="1" applyBorder="1"/>
    <xf numFmtId="0" fontId="22" fillId="0" borderId="8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176" fontId="22" fillId="0" borderId="0" xfId="0" applyNumberFormat="1" applyFont="1" applyFill="1" applyBorder="1" applyAlignment="1">
      <alignment vertical="center"/>
    </xf>
    <xf numFmtId="0" fontId="47" fillId="0" borderId="30" xfId="0" applyFont="1" applyBorder="1"/>
    <xf numFmtId="0" fontId="47" fillId="0" borderId="32" xfId="0" applyFont="1" applyBorder="1"/>
    <xf numFmtId="0" fontId="4" fillId="0" borderId="4" xfId="0" applyFont="1" applyFill="1" applyBorder="1" applyAlignment="1">
      <alignment horizontal="distributed" vertical="center"/>
    </xf>
    <xf numFmtId="0" fontId="22" fillId="0" borderId="0" xfId="0" applyFont="1"/>
    <xf numFmtId="0" fontId="0" fillId="0" borderId="0" xfId="0" applyFill="1" applyBorder="1"/>
    <xf numFmtId="0" fontId="35" fillId="0" borderId="0" xfId="0" applyFont="1" applyFill="1" applyBorder="1"/>
    <xf numFmtId="0" fontId="0" fillId="0" borderId="4" xfId="0" applyFill="1" applyBorder="1"/>
    <xf numFmtId="0" fontId="4" fillId="0" borderId="0" xfId="0" applyFont="1" applyFill="1" applyBorder="1" applyAlignment="1">
      <alignment horizontal="distributed" vertical="center"/>
    </xf>
    <xf numFmtId="0" fontId="22" fillId="0" borderId="0" xfId="0" applyFont="1" applyAlignment="1">
      <alignment horizontal="left" vertical="center"/>
    </xf>
    <xf numFmtId="56" fontId="0" fillId="0" borderId="0" xfId="0" applyNumberFormat="1"/>
    <xf numFmtId="0" fontId="0" fillId="0" borderId="1" xfId="0" applyFont="1" applyBorder="1"/>
    <xf numFmtId="0" fontId="0" fillId="0" borderId="11" xfId="0" applyFont="1" applyBorder="1"/>
    <xf numFmtId="176" fontId="4" fillId="0" borderId="0" xfId="13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4" xfId="0" applyFont="1" applyBorder="1"/>
    <xf numFmtId="0" fontId="0" fillId="0" borderId="3" xfId="0" applyFont="1" applyBorder="1"/>
    <xf numFmtId="0" fontId="0" fillId="0" borderId="5" xfId="0" applyFont="1" applyBorder="1"/>
    <xf numFmtId="0" fontId="49" fillId="0" borderId="1" xfId="0" applyFont="1" applyBorder="1"/>
    <xf numFmtId="0" fontId="49" fillId="0" borderId="5" xfId="0" applyFont="1" applyBorder="1"/>
    <xf numFmtId="0" fontId="21" fillId="0" borderId="0" xfId="0" applyFont="1" applyAlignment="1">
      <alignment horizontal="center" vertical="center"/>
    </xf>
    <xf numFmtId="195" fontId="0" fillId="0" borderId="0" xfId="0" applyNumberFormat="1"/>
    <xf numFmtId="184" fontId="23" fillId="0" borderId="4" xfId="0" applyNumberFormat="1" applyFont="1" applyBorder="1" applyAlignment="1">
      <alignment vertical="center"/>
    </xf>
    <xf numFmtId="176" fontId="0" fillId="0" borderId="0" xfId="0" applyNumberFormat="1"/>
    <xf numFmtId="184" fontId="22" fillId="0" borderId="4" xfId="0" applyNumberFormat="1" applyFont="1" applyBorder="1" applyAlignment="1">
      <alignment vertical="center"/>
    </xf>
    <xf numFmtId="190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0" fontId="47" fillId="0" borderId="33" xfId="0" applyFont="1" applyBorder="1"/>
    <xf numFmtId="0" fontId="23" fillId="0" borderId="0" xfId="0" applyFont="1" applyBorder="1" applyAlignment="1">
      <alignment horizontal="distributed" vertical="center"/>
    </xf>
    <xf numFmtId="176" fontId="0" fillId="0" borderId="0" xfId="0" applyNumberFormat="1" applyFill="1" applyBorder="1"/>
    <xf numFmtId="0" fontId="0" fillId="0" borderId="10" xfId="0" applyFill="1" applyBorder="1"/>
    <xf numFmtId="0" fontId="23" fillId="0" borderId="4" xfId="0" applyFont="1" applyBorder="1" applyAlignment="1">
      <alignment horizontal="distributed" vertical="center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22" fillId="0" borderId="4" xfId="0" applyFont="1" applyBorder="1"/>
    <xf numFmtId="0" fontId="52" fillId="0" borderId="0" xfId="0" applyFont="1" applyAlignment="1">
      <alignment horizontal="right" vertical="center"/>
    </xf>
    <xf numFmtId="176" fontId="22" fillId="0" borderId="4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distributed" vertical="center"/>
    </xf>
    <xf numFmtId="176" fontId="23" fillId="0" borderId="4" xfId="0" applyNumberFormat="1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/>
    <xf numFmtId="0" fontId="0" fillId="0" borderId="9" xfId="0" applyBorder="1"/>
    <xf numFmtId="0" fontId="52" fillId="0" borderId="0" xfId="0" applyFont="1" applyAlignment="1">
      <alignment horizontal="left" vertical="center"/>
    </xf>
    <xf numFmtId="182" fontId="16" fillId="0" borderId="0" xfId="3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182" fontId="4" fillId="0" borderId="0" xfId="1" applyNumberFormat="1" applyFont="1" applyFill="1" applyBorder="1" applyAlignment="1">
      <alignment vertical="center"/>
    </xf>
    <xf numFmtId="182" fontId="5" fillId="0" borderId="0" xfId="1" applyNumberFormat="1" applyFont="1" applyFill="1" applyBorder="1" applyAlignment="1">
      <alignment vertical="center"/>
    </xf>
    <xf numFmtId="187" fontId="24" fillId="0" borderId="0" xfId="0" applyNumberFormat="1" applyFont="1" applyAlignment="1">
      <alignment horizontal="right" vertical="top"/>
    </xf>
    <xf numFmtId="49" fontId="32" fillId="3" borderId="0" xfId="0" applyNumberFormat="1" applyFont="1" applyFill="1" applyBorder="1" applyAlignment="1">
      <alignment horizontal="center" justifyLastLine="1"/>
    </xf>
    <xf numFmtId="49" fontId="32" fillId="3" borderId="1" xfId="0" applyNumberFormat="1" applyFont="1" applyFill="1" applyBorder="1" applyAlignment="1">
      <alignment horizontal="center" justifyLastLine="1"/>
    </xf>
    <xf numFmtId="0" fontId="33" fillId="0" borderId="0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1" xfId="0" applyBorder="1" applyAlignment="1">
      <alignment horizontal="distributed" justifyLastLine="1"/>
    </xf>
    <xf numFmtId="0" fontId="45" fillId="0" borderId="0" xfId="0" applyFont="1" applyAlignment="1">
      <alignment horizontal="distributed" vertical="center"/>
    </xf>
    <xf numFmtId="188" fontId="24" fillId="0" borderId="0" xfId="0" applyNumberFormat="1" applyFont="1" applyAlignment="1">
      <alignment horizontal="left" vertical="top"/>
    </xf>
    <xf numFmtId="177" fontId="21" fillId="0" borderId="2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distributed" vertical="center" justifyLastLine="1"/>
    </xf>
    <xf numFmtId="0" fontId="22" fillId="0" borderId="21" xfId="0" applyFont="1" applyBorder="1" applyAlignment="1">
      <alignment horizontal="distributed" vertical="center" justifyLastLine="1"/>
    </xf>
    <xf numFmtId="0" fontId="22" fillId="0" borderId="12" xfId="0" applyFont="1" applyBorder="1" applyAlignment="1">
      <alignment horizontal="distributed" vertical="center" justifyLastLine="1"/>
    </xf>
    <xf numFmtId="0" fontId="22" fillId="0" borderId="22" xfId="0" applyFont="1" applyBorder="1" applyAlignment="1">
      <alignment horizontal="distributed" vertical="center" justifyLastLine="1"/>
    </xf>
    <xf numFmtId="0" fontId="22" fillId="0" borderId="18" xfId="0" applyFont="1" applyBorder="1" applyAlignment="1">
      <alignment horizontal="distributed" vertical="center" justifyLastLine="1"/>
    </xf>
    <xf numFmtId="0" fontId="22" fillId="0" borderId="16" xfId="0" applyFont="1" applyBorder="1" applyAlignment="1">
      <alignment horizontal="distributed" vertical="center" justifyLastLine="1"/>
    </xf>
    <xf numFmtId="0" fontId="22" fillId="0" borderId="19" xfId="0" applyFont="1" applyBorder="1" applyAlignment="1">
      <alignment horizontal="distributed" vertical="center" justifyLastLine="1"/>
    </xf>
    <xf numFmtId="0" fontId="22" fillId="0" borderId="20" xfId="0" applyFont="1" applyBorder="1" applyAlignment="1">
      <alignment horizontal="distributed" vertical="center" justifyLastLine="1"/>
    </xf>
    <xf numFmtId="0" fontId="22" fillId="0" borderId="0" xfId="0" applyFont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176" fontId="23" fillId="0" borderId="0" xfId="0" applyNumberFormat="1" applyFont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0" fontId="21" fillId="0" borderId="2" xfId="0" applyFont="1" applyBorder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22" fillId="0" borderId="14" xfId="0" applyFont="1" applyBorder="1" applyAlignment="1">
      <alignment horizontal="distributed" vertical="center" justifyLastLine="1"/>
    </xf>
    <xf numFmtId="0" fontId="22" fillId="0" borderId="6" xfId="0" applyFont="1" applyBorder="1" applyAlignment="1">
      <alignment horizontal="distributed" vertical="center" justifyLastLine="1"/>
    </xf>
    <xf numFmtId="176" fontId="23" fillId="0" borderId="10" xfId="0" applyNumberFormat="1" applyFont="1" applyFill="1" applyBorder="1" applyAlignment="1">
      <alignment vertical="center"/>
    </xf>
    <xf numFmtId="176" fontId="22" fillId="0" borderId="0" xfId="0" applyNumberFormat="1" applyFont="1" applyBorder="1" applyAlignment="1">
      <alignment vertical="center"/>
    </xf>
    <xf numFmtId="0" fontId="21" fillId="0" borderId="2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 justifyLastLine="1"/>
    </xf>
    <xf numFmtId="0" fontId="22" fillId="0" borderId="17" xfId="0" applyFont="1" applyBorder="1" applyAlignment="1">
      <alignment horizontal="distributed" vertical="center" justifyLastLine="1"/>
    </xf>
    <xf numFmtId="0" fontId="22" fillId="0" borderId="16" xfId="0" applyFont="1" applyBorder="1" applyAlignment="1">
      <alignment horizontal="distributed" vertical="center" wrapText="1" justifyLastLine="1"/>
    </xf>
    <xf numFmtId="176" fontId="4" fillId="0" borderId="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22" fillId="0" borderId="8" xfId="0" applyFont="1" applyBorder="1" applyAlignment="1">
      <alignment horizontal="center" vertical="center" justifyLastLine="1"/>
    </xf>
    <xf numFmtId="0" fontId="22" fillId="0" borderId="0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22" fillId="0" borderId="2" xfId="0" applyFont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vertical="center"/>
    </xf>
    <xf numFmtId="176" fontId="22" fillId="0" borderId="10" xfId="0" applyNumberFormat="1" applyFont="1" applyBorder="1" applyAlignment="1">
      <alignment vertical="center"/>
    </xf>
    <xf numFmtId="0" fontId="22" fillId="0" borderId="0" xfId="0" applyFont="1" applyAlignment="1">
      <alignment horizontal="distributed" vertical="center" indent="10"/>
    </xf>
    <xf numFmtId="0" fontId="22" fillId="0" borderId="23" xfId="0" applyFont="1" applyBorder="1" applyAlignment="1">
      <alignment horizontal="distributed" vertical="center" justifyLastLine="1"/>
    </xf>
    <xf numFmtId="0" fontId="22" fillId="0" borderId="19" xfId="0" applyFont="1" applyBorder="1" applyAlignment="1">
      <alignment horizontal="distributed" vertical="center" indent="1"/>
    </xf>
    <xf numFmtId="0" fontId="22" fillId="0" borderId="23" xfId="0" applyFont="1" applyBorder="1" applyAlignment="1">
      <alignment horizontal="distributed" vertical="center" indent="1"/>
    </xf>
    <xf numFmtId="0" fontId="22" fillId="0" borderId="7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 justifyLastLine="1"/>
    </xf>
    <xf numFmtId="0" fontId="22" fillId="0" borderId="8" xfId="0" applyFont="1" applyBorder="1" applyAlignment="1">
      <alignment horizontal="center" vertical="center"/>
    </xf>
    <xf numFmtId="0" fontId="21" fillId="0" borderId="2" xfId="4" applyFont="1" applyBorder="1" applyAlignment="1">
      <alignment horizontal="distributed" vertical="center"/>
    </xf>
    <xf numFmtId="0" fontId="22" fillId="0" borderId="15" xfId="4" applyFont="1" applyBorder="1" applyAlignment="1">
      <alignment horizontal="distributed" vertical="center" justifyLastLine="1"/>
    </xf>
    <xf numFmtId="0" fontId="22" fillId="0" borderId="16" xfId="4" applyFont="1" applyBorder="1" applyAlignment="1">
      <alignment horizontal="distributed" vertical="center" justifyLastLine="1"/>
    </xf>
    <xf numFmtId="0" fontId="22" fillId="0" borderId="17" xfId="4" applyFont="1" applyBorder="1" applyAlignment="1">
      <alignment horizontal="distributed" vertical="center" justifyLastLine="1"/>
    </xf>
    <xf numFmtId="0" fontId="22" fillId="0" borderId="18" xfId="4" applyFont="1" applyBorder="1" applyAlignment="1">
      <alignment horizontal="distributed" vertical="center" justifyLastLine="1"/>
    </xf>
    <xf numFmtId="0" fontId="22" fillId="0" borderId="0" xfId="4" applyFont="1" applyAlignment="1">
      <alignment horizontal="distributed" vertical="center"/>
    </xf>
    <xf numFmtId="0" fontId="22" fillId="0" borderId="0" xfId="4" applyFont="1" applyAlignment="1">
      <alignment horizontal="center" vertical="center"/>
    </xf>
    <xf numFmtId="0" fontId="23" fillId="0" borderId="0" xfId="4" applyFont="1" applyAlignment="1">
      <alignment horizontal="center" vertical="center"/>
    </xf>
    <xf numFmtId="176" fontId="22" fillId="0" borderId="0" xfId="4" applyNumberFormat="1" applyFont="1" applyAlignment="1">
      <alignment vertical="center"/>
    </xf>
    <xf numFmtId="176" fontId="23" fillId="0" borderId="10" xfId="4" applyNumberFormat="1" applyFont="1" applyFill="1" applyBorder="1" applyAlignment="1">
      <alignment vertical="center"/>
    </xf>
    <xf numFmtId="176" fontId="23" fillId="0" borderId="0" xfId="4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7" fillId="0" borderId="0" xfId="0" applyFont="1" applyAlignment="1">
      <alignment horizontal="right" vertical="center"/>
    </xf>
    <xf numFmtId="187" fontId="24" fillId="0" borderId="0" xfId="4" applyNumberFormat="1" applyFont="1" applyAlignment="1">
      <alignment horizontal="right" vertical="top"/>
    </xf>
    <xf numFmtId="176" fontId="23" fillId="0" borderId="0" xfId="4" applyNumberFormat="1" applyFont="1" applyAlignment="1">
      <alignment vertical="center"/>
    </xf>
    <xf numFmtId="176" fontId="23" fillId="0" borderId="0" xfId="4" applyNumberFormat="1" applyFont="1" applyBorder="1" applyAlignment="1">
      <alignment vertical="center"/>
    </xf>
    <xf numFmtId="176" fontId="22" fillId="0" borderId="0" xfId="4" applyNumberFormat="1" applyFont="1" applyBorder="1" applyAlignment="1">
      <alignment vertical="center"/>
    </xf>
    <xf numFmtId="0" fontId="41" fillId="0" borderId="0" xfId="4" applyFont="1" applyAlignment="1">
      <alignment horizontal="center" vertical="center"/>
    </xf>
    <xf numFmtId="0" fontId="22" fillId="0" borderId="19" xfId="4" applyFont="1" applyBorder="1" applyAlignment="1">
      <alignment horizontal="distributed" vertical="center" justifyLastLine="1"/>
    </xf>
    <xf numFmtId="0" fontId="22" fillId="0" borderId="20" xfId="4" applyFont="1" applyBorder="1" applyAlignment="1">
      <alignment horizontal="distributed" vertical="center" justifyLastLine="1"/>
    </xf>
    <xf numFmtId="176" fontId="4" fillId="0" borderId="0" xfId="4" applyNumberFormat="1" applyFont="1" applyFill="1" applyBorder="1" applyAlignment="1">
      <alignment vertical="center"/>
    </xf>
    <xf numFmtId="176" fontId="5" fillId="0" borderId="0" xfId="4" applyNumberFormat="1" applyFont="1" applyFill="1" applyBorder="1" applyAlignment="1">
      <alignment vertical="center"/>
    </xf>
    <xf numFmtId="176" fontId="4" fillId="0" borderId="0" xfId="4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0" fontId="21" fillId="0" borderId="0" xfId="4" applyFont="1" applyAlignment="1">
      <alignment horizontal="distributed" vertical="center"/>
    </xf>
    <xf numFmtId="176" fontId="4" fillId="0" borderId="0" xfId="4" applyNumberFormat="1" applyFont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0" fontId="22" fillId="0" borderId="2" xfId="4" applyFont="1" applyBorder="1" applyAlignment="1">
      <alignment horizontal="distributed" vertical="center" justifyLastLine="1"/>
    </xf>
    <xf numFmtId="0" fontId="22" fillId="0" borderId="13" xfId="4" applyFont="1" applyBorder="1" applyAlignment="1">
      <alignment horizontal="distributed" vertical="center" justifyLastLine="1"/>
    </xf>
    <xf numFmtId="0" fontId="22" fillId="0" borderId="7" xfId="4" applyFont="1" applyBorder="1" applyAlignment="1">
      <alignment horizontal="distributed" vertical="center" justifyLastLine="1"/>
    </xf>
    <xf numFmtId="0" fontId="22" fillId="0" borderId="12" xfId="4" applyFont="1" applyBorder="1" applyAlignment="1">
      <alignment horizontal="distributed" vertical="center" justifyLastLine="1"/>
    </xf>
    <xf numFmtId="0" fontId="22" fillId="0" borderId="16" xfId="4" applyFont="1" applyBorder="1" applyAlignment="1">
      <alignment horizontal="distributed" vertical="center" indent="2"/>
    </xf>
    <xf numFmtId="0" fontId="22" fillId="0" borderId="18" xfId="4" applyFont="1" applyBorder="1" applyAlignment="1">
      <alignment horizontal="distributed" vertical="center" indent="2"/>
    </xf>
    <xf numFmtId="0" fontId="22" fillId="2" borderId="16" xfId="4" applyFont="1" applyFill="1" applyBorder="1" applyAlignment="1">
      <alignment horizontal="distributed" vertical="center" indent="10"/>
    </xf>
    <xf numFmtId="0" fontId="22" fillId="2" borderId="19" xfId="4" applyFont="1" applyFill="1" applyBorder="1" applyAlignment="1">
      <alignment horizontal="distributed" vertical="center" indent="10"/>
    </xf>
    <xf numFmtId="0" fontId="22" fillId="0" borderId="18" xfId="4" applyFont="1" applyBorder="1" applyAlignment="1">
      <alignment horizontal="distributed" vertical="center" indent="3"/>
    </xf>
    <xf numFmtId="0" fontId="22" fillId="0" borderId="20" xfId="4" applyFont="1" applyBorder="1" applyAlignment="1">
      <alignment horizontal="distributed" vertical="center" indent="3"/>
    </xf>
    <xf numFmtId="176" fontId="22" fillId="0" borderId="0" xfId="4" applyNumberFormat="1" applyFont="1" applyFill="1" applyBorder="1" applyAlignment="1">
      <alignment vertical="center"/>
    </xf>
    <xf numFmtId="176" fontId="22" fillId="0" borderId="10" xfId="4" applyNumberFormat="1" applyFont="1" applyFill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6" xfId="0" applyFont="1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/>
    </xf>
    <xf numFmtId="0" fontId="22" fillId="0" borderId="2" xfId="0" applyFont="1" applyBorder="1" applyAlignment="1">
      <alignment horizontal="distributed" vertical="center" justifyLastLine="1"/>
    </xf>
    <xf numFmtId="0" fontId="22" fillId="0" borderId="0" xfId="0" applyFont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22" fillId="0" borderId="9" xfId="0" applyFont="1" applyBorder="1" applyAlignment="1">
      <alignment horizontal="distributed" vertical="center" wrapText="1" indent="1"/>
    </xf>
    <xf numFmtId="0" fontId="0" fillId="0" borderId="8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22" fillId="0" borderId="8" xfId="0" applyFont="1" applyBorder="1" applyAlignment="1">
      <alignment horizontal="distributed" vertical="center" wrapText="1" justifyLastLine="1"/>
    </xf>
    <xf numFmtId="0" fontId="22" fillId="0" borderId="8" xfId="0" applyFont="1" applyBorder="1" applyAlignment="1">
      <alignment horizontal="distributed" vertical="center" justifyLastLine="1"/>
    </xf>
    <xf numFmtId="0" fontId="22" fillId="0" borderId="3" xfId="0" applyFont="1" applyBorder="1" applyAlignment="1">
      <alignment horizontal="distributed" vertical="center" justifyLastLine="1"/>
    </xf>
    <xf numFmtId="0" fontId="22" fillId="0" borderId="4" xfId="0" applyFont="1" applyBorder="1" applyAlignment="1">
      <alignment horizontal="distributed" vertical="center" justifyLastLine="1"/>
    </xf>
    <xf numFmtId="0" fontId="22" fillId="0" borderId="10" xfId="0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16" xfId="0" applyFont="1" applyBorder="1" applyAlignment="1">
      <alignment horizontal="distributed" vertical="center" justifyLastLine="1"/>
    </xf>
    <xf numFmtId="0" fontId="0" fillId="0" borderId="19" xfId="0" applyFont="1" applyBorder="1" applyAlignment="1">
      <alignment horizontal="distributed" vertical="center" justifyLastLine="1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22" fillId="0" borderId="21" xfId="0" applyFont="1" applyBorder="1" applyAlignment="1">
      <alignment horizontal="distributed" vertical="center" wrapText="1" justifyLastLine="1"/>
    </xf>
    <xf numFmtId="9" fontId="4" fillId="0" borderId="14" xfId="4" applyNumberFormat="1" applyFont="1" applyBorder="1" applyAlignment="1">
      <alignment horizontal="distributed" vertical="center" wrapText="1" justifyLastLine="1"/>
    </xf>
    <xf numFmtId="9" fontId="4" fillId="0" borderId="2" xfId="4" applyNumberFormat="1" applyFont="1" applyBorder="1" applyAlignment="1">
      <alignment horizontal="distributed" vertical="center" wrapText="1" justifyLastLine="1"/>
    </xf>
    <xf numFmtId="9" fontId="4" fillId="0" borderId="13" xfId="4" applyNumberFormat="1" applyFont="1" applyBorder="1" applyAlignment="1">
      <alignment horizontal="distributed" vertical="center" wrapText="1" justifyLastLine="1"/>
    </xf>
    <xf numFmtId="9" fontId="4" fillId="0" borderId="10" xfId="4" applyNumberFormat="1" applyFont="1" applyBorder="1" applyAlignment="1">
      <alignment horizontal="distributed" vertical="center" wrapText="1" justifyLastLine="1"/>
    </xf>
    <xf numFmtId="9" fontId="4" fillId="0" borderId="0" xfId="4" applyNumberFormat="1" applyFont="1" applyBorder="1" applyAlignment="1">
      <alignment horizontal="distributed" vertical="center" wrapText="1" justifyLastLine="1"/>
    </xf>
    <xf numFmtId="9" fontId="4" fillId="0" borderId="4" xfId="4" applyNumberFormat="1" applyFont="1" applyBorder="1" applyAlignment="1">
      <alignment horizontal="distributed" vertical="center" wrapText="1" justifyLastLine="1"/>
    </xf>
    <xf numFmtId="9" fontId="4" fillId="0" borderId="6" xfId="4" applyNumberFormat="1" applyFont="1" applyBorder="1" applyAlignment="1">
      <alignment horizontal="distributed" vertical="center" wrapText="1" justifyLastLine="1"/>
    </xf>
    <xf numFmtId="9" fontId="4" fillId="0" borderId="7" xfId="4" applyNumberFormat="1" applyFont="1" applyBorder="1" applyAlignment="1">
      <alignment horizontal="distributed" vertical="center" wrapText="1" justifyLastLine="1"/>
    </xf>
    <xf numFmtId="9" fontId="4" fillId="0" borderId="12" xfId="4" applyNumberFormat="1" applyFont="1" applyBorder="1" applyAlignment="1">
      <alignment horizontal="distributed" vertical="center" wrapText="1" justifyLastLine="1"/>
    </xf>
    <xf numFmtId="9" fontId="4" fillId="0" borderId="20" xfId="4" applyNumberFormat="1" applyFont="1" applyBorder="1" applyAlignment="1">
      <alignment horizontal="distributed" vertical="center" wrapText="1" justifyLastLine="1"/>
    </xf>
    <xf numFmtId="9" fontId="4" fillId="0" borderId="25" xfId="4" applyNumberFormat="1" applyFont="1" applyBorder="1" applyAlignment="1">
      <alignment horizontal="distributed" vertical="center" wrapText="1" justifyLastLine="1"/>
    </xf>
    <xf numFmtId="9" fontId="4" fillId="0" borderId="17" xfId="4" applyNumberFormat="1" applyFont="1" applyBorder="1" applyAlignment="1">
      <alignment horizontal="distributed" vertical="center" wrapText="1" justifyLastLine="1"/>
    </xf>
    <xf numFmtId="9" fontId="4" fillId="0" borderId="20" xfId="4" applyNumberFormat="1" applyFont="1" applyBorder="1" applyAlignment="1">
      <alignment horizontal="distributed" vertical="center" wrapText="1" indent="1"/>
    </xf>
    <xf numFmtId="9" fontId="4" fillId="0" borderId="25" xfId="4" applyNumberFormat="1" applyFont="1" applyBorder="1" applyAlignment="1">
      <alignment horizontal="distributed" vertical="center" wrapText="1" indent="1"/>
    </xf>
    <xf numFmtId="9" fontId="4" fillId="0" borderId="17" xfId="4" applyNumberFormat="1" applyFont="1" applyBorder="1" applyAlignment="1">
      <alignment horizontal="distributed" vertical="center" wrapText="1" indent="1"/>
    </xf>
    <xf numFmtId="178" fontId="4" fillId="0" borderId="0" xfId="4" applyNumberFormat="1" applyFont="1" applyFill="1" applyBorder="1" applyAlignment="1">
      <alignment vertical="center"/>
    </xf>
    <xf numFmtId="9" fontId="4" fillId="0" borderId="14" xfId="4" applyNumberFormat="1" applyFont="1" applyBorder="1" applyAlignment="1">
      <alignment horizontal="distributed" vertical="center" wrapText="1" indent="2"/>
    </xf>
    <xf numFmtId="9" fontId="4" fillId="0" borderId="2" xfId="4" applyNumberFormat="1" applyFont="1" applyBorder="1" applyAlignment="1">
      <alignment horizontal="distributed" vertical="center" wrapText="1" indent="2"/>
    </xf>
    <xf numFmtId="9" fontId="4" fillId="0" borderId="13" xfId="4" applyNumberFormat="1" applyFont="1" applyBorder="1" applyAlignment="1">
      <alignment horizontal="distributed" vertical="center" wrapText="1" indent="2"/>
    </xf>
    <xf numFmtId="9" fontId="4" fillId="0" borderId="6" xfId="4" applyNumberFormat="1" applyFont="1" applyBorder="1" applyAlignment="1">
      <alignment horizontal="distributed" vertical="center" wrapText="1" indent="4"/>
    </xf>
    <xf numFmtId="9" fontId="4" fillId="0" borderId="7" xfId="4" applyNumberFormat="1" applyFont="1" applyBorder="1" applyAlignment="1">
      <alignment horizontal="distributed" vertical="center" wrapText="1" indent="4"/>
    </xf>
    <xf numFmtId="9" fontId="4" fillId="0" borderId="12" xfId="4" applyNumberFormat="1" applyFont="1" applyBorder="1" applyAlignment="1">
      <alignment horizontal="distributed" vertical="center" wrapText="1" indent="4"/>
    </xf>
    <xf numFmtId="178" fontId="5" fillId="0" borderId="0" xfId="4" applyNumberFormat="1" applyFont="1" applyFill="1" applyBorder="1" applyAlignment="1">
      <alignment vertical="center"/>
    </xf>
    <xf numFmtId="178" fontId="4" fillId="0" borderId="10" xfId="4" applyNumberFormat="1" applyFont="1" applyFill="1" applyBorder="1" applyAlignment="1">
      <alignment vertical="center"/>
    </xf>
    <xf numFmtId="178" fontId="5" fillId="0" borderId="10" xfId="4" applyNumberFormat="1" applyFont="1" applyFill="1" applyBorder="1" applyAlignment="1">
      <alignment vertical="center"/>
    </xf>
    <xf numFmtId="9" fontId="22" fillId="0" borderId="14" xfId="4" applyNumberFormat="1" applyFont="1" applyBorder="1" applyAlignment="1">
      <alignment horizontal="distributed" vertical="center" wrapText="1" justifyLastLine="1"/>
    </xf>
    <xf numFmtId="9" fontId="22" fillId="0" borderId="2" xfId="4" applyNumberFormat="1" applyFont="1" applyBorder="1" applyAlignment="1">
      <alignment horizontal="distributed" vertical="center" wrapText="1" justifyLastLine="1"/>
    </xf>
    <xf numFmtId="9" fontId="22" fillId="0" borderId="13" xfId="4" applyNumberFormat="1" applyFont="1" applyBorder="1" applyAlignment="1">
      <alignment horizontal="distributed" vertical="center" wrapText="1" justifyLastLine="1"/>
    </xf>
    <xf numFmtId="9" fontId="22" fillId="0" borderId="10" xfId="4" applyNumberFormat="1" applyFont="1" applyBorder="1" applyAlignment="1">
      <alignment horizontal="distributed" vertical="center" wrapText="1" justifyLastLine="1"/>
    </xf>
    <xf numFmtId="9" fontId="22" fillId="0" borderId="0" xfId="4" applyNumberFormat="1" applyFont="1" applyBorder="1" applyAlignment="1">
      <alignment horizontal="distributed" vertical="center" wrapText="1" justifyLastLine="1"/>
    </xf>
    <xf numFmtId="9" fontId="22" fillId="0" borderId="4" xfId="4" applyNumberFormat="1" applyFont="1" applyBorder="1" applyAlignment="1">
      <alignment horizontal="distributed" vertical="center" wrapText="1" justifyLastLine="1"/>
    </xf>
    <xf numFmtId="9" fontId="22" fillId="0" borderId="6" xfId="4" applyNumberFormat="1" applyFont="1" applyBorder="1" applyAlignment="1">
      <alignment horizontal="distributed" vertical="center" wrapText="1" justifyLastLine="1"/>
    </xf>
    <xf numFmtId="9" fontId="22" fillId="0" borderId="7" xfId="4" applyNumberFormat="1" applyFont="1" applyBorder="1" applyAlignment="1">
      <alignment horizontal="distributed" vertical="center" wrapText="1" justifyLastLine="1"/>
    </xf>
    <xf numFmtId="9" fontId="22" fillId="0" borderId="12" xfId="4" applyNumberFormat="1" applyFont="1" applyBorder="1" applyAlignment="1">
      <alignment horizontal="distributed" vertical="center" wrapText="1" justifyLastLine="1"/>
    </xf>
    <xf numFmtId="0" fontId="22" fillId="0" borderId="24" xfId="0" applyFont="1" applyBorder="1" applyAlignment="1">
      <alignment horizontal="distributed" vertical="center" justifyLastLine="1"/>
    </xf>
    <xf numFmtId="0" fontId="22" fillId="0" borderId="22" xfId="0" applyFont="1" applyBorder="1" applyAlignment="1">
      <alignment horizontal="distributed" vertical="center" wrapText="1" justifyLastLine="1"/>
    </xf>
    <xf numFmtId="0" fontId="22" fillId="0" borderId="14" xfId="0" applyFont="1" applyBorder="1" applyAlignment="1">
      <alignment horizontal="distributed" vertical="center" wrapText="1" justifyLastLine="1"/>
    </xf>
    <xf numFmtId="0" fontId="22" fillId="0" borderId="2" xfId="0" applyFont="1" applyBorder="1" applyAlignment="1">
      <alignment horizontal="distributed" vertical="center" wrapText="1" justifyLastLine="1"/>
    </xf>
    <xf numFmtId="0" fontId="22" fillId="0" borderId="6" xfId="0" applyFont="1" applyBorder="1" applyAlignment="1">
      <alignment horizontal="distributed" vertical="center" wrapText="1" justifyLastLine="1"/>
    </xf>
    <xf numFmtId="0" fontId="22" fillId="0" borderId="7" xfId="0" applyFont="1" applyBorder="1" applyAlignment="1">
      <alignment horizontal="distributed" vertical="center" wrapText="1" justifyLastLine="1"/>
    </xf>
    <xf numFmtId="176" fontId="23" fillId="0" borderId="0" xfId="0" applyNumberFormat="1" applyFont="1" applyBorder="1" applyAlignment="1">
      <alignment vertical="center"/>
    </xf>
    <xf numFmtId="176" fontId="23" fillId="0" borderId="10" xfId="0" applyNumberFormat="1" applyFont="1" applyBorder="1" applyAlignment="1">
      <alignment vertical="center"/>
    </xf>
    <xf numFmtId="0" fontId="22" fillId="0" borderId="16" xfId="0" applyFont="1" applyBorder="1" applyAlignment="1">
      <alignment horizontal="distributed" vertical="distributed" justifyLastLine="1"/>
    </xf>
    <xf numFmtId="0" fontId="22" fillId="0" borderId="19" xfId="0" applyFont="1" applyBorder="1" applyAlignment="1">
      <alignment horizontal="distributed" vertical="distributed" justifyLastLine="1"/>
    </xf>
    <xf numFmtId="0" fontId="22" fillId="0" borderId="0" xfId="0" applyFont="1" applyAlignment="1">
      <alignment horizontal="distributed" vertical="center" indent="15"/>
    </xf>
    <xf numFmtId="0" fontId="21" fillId="0" borderId="2" xfId="4" applyFont="1" applyBorder="1" applyAlignment="1">
      <alignment horizontal="right" vertical="center"/>
    </xf>
    <xf numFmtId="0" fontId="21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justifyLastLine="1"/>
    </xf>
    <xf numFmtId="0" fontId="4" fillId="0" borderId="22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 indent="14"/>
    </xf>
    <xf numFmtId="0" fontId="14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180" fontId="5" fillId="0" borderId="0" xfId="3" applyNumberFormat="1" applyFont="1" applyFill="1" applyBorder="1" applyAlignment="1">
      <alignment vertical="center"/>
    </xf>
    <xf numFmtId="0" fontId="43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16" xfId="3" applyFont="1" applyFill="1" applyBorder="1" applyAlignment="1">
      <alignment horizontal="distributed" vertical="center" justifyLastLine="1"/>
    </xf>
    <xf numFmtId="0" fontId="4" fillId="0" borderId="18" xfId="3" applyFont="1" applyFill="1" applyBorder="1" applyAlignment="1">
      <alignment horizontal="distributed" vertical="center" justifyLastLine="1"/>
    </xf>
    <xf numFmtId="0" fontId="4" fillId="0" borderId="0" xfId="3" applyFont="1" applyFill="1" applyAlignment="1">
      <alignment horizontal="distributed" vertical="center" justifyLastLine="1"/>
    </xf>
    <xf numFmtId="180" fontId="4" fillId="0" borderId="0" xfId="3" applyNumberFormat="1" applyFont="1" applyFill="1" applyBorder="1" applyAlignment="1">
      <alignment horizontal="right" vertical="center"/>
    </xf>
    <xf numFmtId="0" fontId="4" fillId="0" borderId="15" xfId="3" applyFont="1" applyFill="1" applyBorder="1" applyAlignment="1">
      <alignment horizontal="distributed" vertical="center" justifyLastLine="1"/>
    </xf>
    <xf numFmtId="0" fontId="4" fillId="0" borderId="17" xfId="3" applyFont="1" applyFill="1" applyBorder="1" applyAlignment="1">
      <alignment horizontal="distributed" vertical="center" justifyLastLine="1"/>
    </xf>
    <xf numFmtId="181" fontId="4" fillId="0" borderId="0" xfId="3" applyNumberFormat="1" applyFont="1" applyFill="1" applyBorder="1" applyAlignment="1">
      <alignment horizontal="right" vertical="center"/>
    </xf>
    <xf numFmtId="0" fontId="4" fillId="0" borderId="0" xfId="3" applyFont="1" applyFill="1" applyAlignment="1">
      <alignment horizontal="center" vertical="center"/>
    </xf>
    <xf numFmtId="181" fontId="5" fillId="0" borderId="0" xfId="3" applyNumberFormat="1" applyFont="1" applyFill="1" applyBorder="1" applyAlignment="1">
      <alignment vertical="center"/>
    </xf>
    <xf numFmtId="187" fontId="19" fillId="0" borderId="0" xfId="3" applyNumberFormat="1" applyFont="1" applyFill="1" applyAlignment="1">
      <alignment horizontal="right" vertical="top"/>
    </xf>
    <xf numFmtId="0" fontId="5" fillId="0" borderId="0" xfId="3" applyFont="1" applyBorder="1" applyAlignment="1">
      <alignment horizontal="center" vertical="center"/>
    </xf>
    <xf numFmtId="0" fontId="4" fillId="0" borderId="16" xfId="3" applyFont="1" applyFill="1" applyBorder="1" applyAlignment="1">
      <alignment horizontal="distributed" vertical="center" wrapText="1" justifyLastLine="1"/>
    </xf>
    <xf numFmtId="0" fontId="4" fillId="0" borderId="19" xfId="3" applyFont="1" applyFill="1" applyBorder="1" applyAlignment="1">
      <alignment horizontal="distributed" vertical="center" wrapText="1" justifyLastLine="1"/>
    </xf>
    <xf numFmtId="0" fontId="4" fillId="0" borderId="18" xfId="3" applyFont="1" applyFill="1" applyBorder="1" applyAlignment="1">
      <alignment horizontal="distributed" vertical="center" wrapText="1" justifyLastLine="1"/>
    </xf>
    <xf numFmtId="0" fontId="4" fillId="0" borderId="20" xfId="3" applyFont="1" applyFill="1" applyBorder="1" applyAlignment="1">
      <alignment horizontal="distributed" vertical="center" wrapText="1" justifyLastLine="1"/>
    </xf>
    <xf numFmtId="0" fontId="4" fillId="0" borderId="2" xfId="3" applyFont="1" applyFill="1" applyBorder="1" applyAlignment="1">
      <alignment horizontal="right" vertical="center"/>
    </xf>
    <xf numFmtId="0" fontId="4" fillId="0" borderId="0" xfId="3" applyFont="1" applyFill="1" applyAlignment="1">
      <alignment horizontal="distributed" vertical="center"/>
    </xf>
    <xf numFmtId="0" fontId="5" fillId="0" borderId="0" xfId="3" applyFont="1" applyFill="1" applyAlignment="1">
      <alignment horizontal="center" vertical="center"/>
    </xf>
    <xf numFmtId="0" fontId="4" fillId="0" borderId="19" xfId="3" applyFont="1" applyFill="1" applyBorder="1" applyAlignment="1">
      <alignment horizontal="distributed" vertical="center" justifyLastLine="1"/>
    </xf>
    <xf numFmtId="0" fontId="4" fillId="0" borderId="20" xfId="3" applyFont="1" applyFill="1" applyBorder="1" applyAlignment="1">
      <alignment horizontal="distributed" vertical="center" justifyLastLine="1"/>
    </xf>
    <xf numFmtId="0" fontId="4" fillId="0" borderId="0" xfId="3" applyFont="1" applyFill="1" applyBorder="1" applyAlignment="1">
      <alignment horizontal="distributed" vertical="center" justifyLastLine="1"/>
    </xf>
    <xf numFmtId="0" fontId="5" fillId="0" borderId="0" xfId="3" applyFont="1" applyFill="1" applyBorder="1" applyAlignment="1">
      <alignment horizontal="center" vertical="center"/>
    </xf>
    <xf numFmtId="181" fontId="4" fillId="0" borderId="0" xfId="3" applyNumberFormat="1" applyFont="1" applyFill="1" applyBorder="1" applyAlignment="1">
      <alignment vertical="center"/>
    </xf>
    <xf numFmtId="0" fontId="4" fillId="0" borderId="15" xfId="3" applyFont="1" applyBorder="1" applyAlignment="1">
      <alignment horizontal="distributed" vertical="center" justifyLastLine="1"/>
    </xf>
    <xf numFmtId="0" fontId="4" fillId="0" borderId="16" xfId="3" applyFont="1" applyBorder="1" applyAlignment="1">
      <alignment horizontal="distributed" vertical="center" justifyLastLine="1"/>
    </xf>
    <xf numFmtId="0" fontId="4" fillId="0" borderId="17" xfId="3" applyFont="1" applyBorder="1" applyAlignment="1">
      <alignment horizontal="distributed" vertical="center" justifyLastLine="1"/>
    </xf>
    <xf numFmtId="0" fontId="4" fillId="0" borderId="18" xfId="3" applyFont="1" applyBorder="1" applyAlignment="1">
      <alignment horizontal="distributed" vertical="center" justifyLastLine="1"/>
    </xf>
    <xf numFmtId="0" fontId="4" fillId="0" borderId="19" xfId="3" applyFont="1" applyBorder="1" applyAlignment="1">
      <alignment horizontal="distributed" vertical="center" justifyLastLine="1"/>
    </xf>
    <xf numFmtId="0" fontId="4" fillId="0" borderId="20" xfId="3" applyFont="1" applyBorder="1" applyAlignment="1">
      <alignment horizontal="distributed" vertical="center" justifyLastLine="1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distributed" vertical="center" justifyLastLine="1"/>
    </xf>
    <xf numFmtId="0" fontId="4" fillId="0" borderId="0" xfId="3" applyFont="1" applyBorder="1" applyAlignment="1">
      <alignment horizontal="center" vertical="center" justifyLastLine="1"/>
    </xf>
    <xf numFmtId="180" fontId="4" fillId="0" borderId="0" xfId="1" applyNumberFormat="1" applyFont="1" applyBorder="1" applyAlignment="1">
      <alignment horizontal="right" vertical="center" justifyLastLine="1"/>
    </xf>
    <xf numFmtId="182" fontId="4" fillId="0" borderId="0" xfId="1" applyNumberFormat="1" applyFont="1" applyBorder="1" applyAlignment="1">
      <alignment horizontal="right" vertical="center" justifyLastLine="1"/>
    </xf>
    <xf numFmtId="180" fontId="4" fillId="0" borderId="0" xfId="3" applyNumberFormat="1" applyFont="1" applyFill="1" applyBorder="1" applyAlignment="1">
      <alignment vertical="center"/>
    </xf>
    <xf numFmtId="180" fontId="4" fillId="0" borderId="0" xfId="1" applyNumberFormat="1" applyFont="1" applyFill="1" applyBorder="1" applyAlignment="1">
      <alignment horizontal="right" vertical="center" justifyLastLine="1"/>
    </xf>
    <xf numFmtId="0" fontId="4" fillId="0" borderId="0" xfId="3" applyFont="1" applyFill="1" applyBorder="1" applyAlignment="1">
      <alignment horizontal="distributed" vertical="center"/>
    </xf>
    <xf numFmtId="177" fontId="4" fillId="0" borderId="0" xfId="3" applyNumberFormat="1" applyFont="1" applyFill="1" applyBorder="1" applyAlignment="1">
      <alignment horizontal="center" vertical="center"/>
    </xf>
    <xf numFmtId="177" fontId="4" fillId="0" borderId="2" xfId="3" applyNumberFormat="1" applyFont="1" applyFill="1" applyBorder="1" applyAlignment="1">
      <alignment horizontal="center" vertical="center"/>
    </xf>
    <xf numFmtId="178" fontId="4" fillId="0" borderId="10" xfId="1" applyNumberFormat="1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185" fontId="4" fillId="0" borderId="0" xfId="3" applyNumberFormat="1" applyFont="1" applyBorder="1" applyAlignment="1">
      <alignment vertical="center"/>
    </xf>
    <xf numFmtId="185" fontId="0" fillId="0" borderId="0" xfId="0" applyNumberFormat="1" applyAlignment="1">
      <alignment vertical="center"/>
    </xf>
    <xf numFmtId="178" fontId="22" fillId="0" borderId="0" xfId="0" applyNumberFormat="1" applyFont="1" applyBorder="1" applyAlignment="1">
      <alignment vertical="center"/>
    </xf>
    <xf numFmtId="190" fontId="22" fillId="0" borderId="0" xfId="0" applyNumberFormat="1" applyFont="1" applyBorder="1" applyAlignment="1">
      <alignment vertical="center"/>
    </xf>
    <xf numFmtId="190" fontId="0" fillId="0" borderId="0" xfId="0" applyNumberFormat="1" applyAlignment="1">
      <alignment vertical="center"/>
    </xf>
    <xf numFmtId="183" fontId="5" fillId="0" borderId="10" xfId="1" applyNumberFormat="1" applyFont="1" applyFill="1" applyBorder="1" applyAlignment="1">
      <alignment vertical="center"/>
    </xf>
    <xf numFmtId="183" fontId="23" fillId="0" borderId="0" xfId="0" applyNumberFormat="1" applyFont="1" applyFill="1" applyBorder="1" applyAlignment="1">
      <alignment vertical="center"/>
    </xf>
    <xf numFmtId="191" fontId="5" fillId="0" borderId="0" xfId="3" applyNumberFormat="1" applyFont="1" applyFill="1" applyBorder="1" applyAlignment="1">
      <alignment vertical="center"/>
    </xf>
    <xf numFmtId="191" fontId="23" fillId="0" borderId="0" xfId="0" applyNumberFormat="1" applyFont="1" applyFill="1" applyBorder="1" applyAlignment="1">
      <alignment vertical="center"/>
    </xf>
    <xf numFmtId="192" fontId="23" fillId="0" borderId="0" xfId="0" applyNumberFormat="1" applyFont="1" applyFill="1" applyBorder="1" applyAlignment="1">
      <alignment vertical="center"/>
    </xf>
    <xf numFmtId="0" fontId="4" fillId="0" borderId="8" xfId="3" applyFont="1" applyFill="1" applyBorder="1" applyAlignment="1">
      <alignment horizontal="right" vertical="top" justifyLastLine="1"/>
    </xf>
    <xf numFmtId="0" fontId="4" fillId="0" borderId="8" xfId="0" applyFont="1" applyBorder="1" applyAlignment="1">
      <alignment horizontal="right" vertical="top" justifyLastLine="1"/>
    </xf>
    <xf numFmtId="0" fontId="4" fillId="0" borderId="8" xfId="3" applyFont="1" applyFill="1" applyBorder="1" applyAlignment="1">
      <alignment horizontal="right" vertical="top"/>
    </xf>
    <xf numFmtId="0" fontId="4" fillId="0" borderId="8" xfId="0" applyFont="1" applyBorder="1" applyAlignment="1">
      <alignment horizontal="right" vertical="top"/>
    </xf>
    <xf numFmtId="0" fontId="4" fillId="0" borderId="14" xfId="3" applyFont="1" applyFill="1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4" fillId="0" borderId="14" xfId="3" applyFont="1" applyBorder="1" applyAlignment="1">
      <alignment horizontal="distributed" vertical="center" wrapText="1" justifyLastLine="1"/>
    </xf>
    <xf numFmtId="0" fontId="4" fillId="0" borderId="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3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9" xfId="3" applyFont="1" applyFill="1" applyBorder="1" applyAlignment="1">
      <alignment horizontal="distributed" vertical="center" wrapText="1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9" xfId="3" applyFont="1" applyFill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188" fontId="19" fillId="0" borderId="0" xfId="3" applyNumberFormat="1" applyFont="1" applyFill="1" applyAlignment="1">
      <alignment horizontal="left" vertical="top"/>
    </xf>
    <xf numFmtId="0" fontId="5" fillId="0" borderId="0" xfId="3" applyFont="1" applyBorder="1" applyAlignment="1">
      <alignment horizontal="center" vertical="center" justifyLastLine="1"/>
    </xf>
    <xf numFmtId="184" fontId="5" fillId="0" borderId="0" xfId="1" applyNumberFormat="1" applyFont="1" applyFill="1" applyBorder="1" applyAlignment="1">
      <alignment vertical="center"/>
    </xf>
    <xf numFmtId="182" fontId="4" fillId="0" borderId="0" xfId="3" applyNumberFormat="1" applyFont="1" applyFill="1" applyBorder="1" applyAlignment="1">
      <alignment vertical="center"/>
    </xf>
    <xf numFmtId="182" fontId="4" fillId="0" borderId="0" xfId="3" applyNumberFormat="1" applyFont="1" applyFill="1" applyBorder="1" applyAlignment="1">
      <alignment horizontal="right" vertical="center"/>
    </xf>
    <xf numFmtId="184" fontId="5" fillId="0" borderId="0" xfId="3" applyNumberFormat="1" applyFont="1" applyFill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 justifyLastLine="1"/>
    </xf>
    <xf numFmtId="178" fontId="4" fillId="0" borderId="0" xfId="1" applyNumberFormat="1" applyFont="1" applyFill="1" applyBorder="1" applyAlignment="1">
      <alignment horizontal="right" vertical="center" justifyLastLine="1"/>
    </xf>
    <xf numFmtId="184" fontId="4" fillId="0" borderId="0" xfId="1" applyNumberFormat="1" applyFont="1" applyFill="1" applyBorder="1" applyAlignment="1">
      <alignment vertical="center"/>
    </xf>
    <xf numFmtId="0" fontId="9" fillId="0" borderId="16" xfId="3" applyFont="1" applyFill="1" applyBorder="1" applyAlignment="1">
      <alignment horizontal="center" vertical="center" justifyLastLine="1"/>
    </xf>
    <xf numFmtId="3" fontId="4" fillId="0" borderId="0" xfId="3" applyNumberFormat="1" applyFont="1" applyFill="1" applyBorder="1" applyAlignment="1">
      <alignment vertical="center"/>
    </xf>
    <xf numFmtId="3" fontId="4" fillId="0" borderId="0" xfId="3" applyNumberFormat="1" applyFont="1" applyBorder="1" applyAlignment="1">
      <alignment vertical="center"/>
    </xf>
    <xf numFmtId="3" fontId="4" fillId="0" borderId="0" xfId="3" applyNumberFormat="1" applyFont="1" applyFill="1" applyBorder="1" applyAlignment="1">
      <alignment horizontal="right" vertical="center"/>
    </xf>
    <xf numFmtId="3" fontId="5" fillId="0" borderId="0" xfId="3" applyNumberFormat="1" applyFont="1" applyFill="1" applyBorder="1" applyAlignment="1">
      <alignment horizontal="right" vertical="center"/>
    </xf>
    <xf numFmtId="0" fontId="11" fillId="0" borderId="0" xfId="3" applyFill="1" applyAlignment="1">
      <alignment horizontal="center" vertical="center"/>
    </xf>
    <xf numFmtId="181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177" fontId="14" fillId="0" borderId="2" xfId="0" applyNumberFormat="1" applyFont="1" applyBorder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180" fontId="5" fillId="0" borderId="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center" vertical="center"/>
    </xf>
    <xf numFmtId="180" fontId="5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80" fontId="4" fillId="0" borderId="0" xfId="0" applyNumberFormat="1" applyFont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Fill="1" applyBorder="1" applyAlignment="1">
      <alignment horizontal="right" vertical="center" justifyLastLine="1"/>
    </xf>
    <xf numFmtId="180" fontId="4" fillId="0" borderId="26" xfId="0" applyNumberFormat="1" applyFont="1" applyFill="1" applyBorder="1" applyAlignment="1">
      <alignment horizontal="right" vertical="center" justifyLastLine="1"/>
    </xf>
    <xf numFmtId="182" fontId="5" fillId="0" borderId="0" xfId="0" applyNumberFormat="1" applyFont="1" applyFill="1" applyBorder="1" applyAlignment="1">
      <alignment horizontal="right" vertical="center" justifyLastLine="1"/>
    </xf>
    <xf numFmtId="182" fontId="5" fillId="0" borderId="26" xfId="0" applyNumberFormat="1" applyFont="1" applyFill="1" applyBorder="1" applyAlignment="1">
      <alignment horizontal="right" vertical="center" justifyLastLine="1"/>
    </xf>
    <xf numFmtId="0" fontId="9" fillId="0" borderId="20" xfId="0" applyFont="1" applyBorder="1" applyAlignment="1">
      <alignment horizontal="center" vertical="center" justifyLastLine="1"/>
    </xf>
    <xf numFmtId="0" fontId="9" fillId="0" borderId="25" xfId="0" applyFont="1" applyBorder="1" applyAlignment="1">
      <alignment horizontal="center" vertical="center" justifyLastLine="1"/>
    </xf>
    <xf numFmtId="0" fontId="9" fillId="0" borderId="17" xfId="0" applyFont="1" applyBorder="1" applyAlignment="1">
      <alignment horizontal="center" vertical="center" justifyLastLine="1"/>
    </xf>
    <xf numFmtId="180" fontId="5" fillId="0" borderId="24" xfId="0" applyNumberFormat="1" applyFont="1" applyFill="1" applyBorder="1" applyAlignment="1">
      <alignment horizontal="right" vertical="center" justifyLastLine="1"/>
    </xf>
    <xf numFmtId="180" fontId="5" fillId="0" borderId="27" xfId="0" applyNumberFormat="1" applyFont="1" applyFill="1" applyBorder="1" applyAlignment="1">
      <alignment horizontal="right" vertical="center" justifyLastLine="1"/>
    </xf>
    <xf numFmtId="180" fontId="5" fillId="0" borderId="4" xfId="0" applyNumberFormat="1" applyFont="1" applyFill="1" applyBorder="1" applyAlignment="1">
      <alignment horizontal="right" vertical="center" justifyLastLine="1"/>
    </xf>
    <xf numFmtId="180" fontId="4" fillId="0" borderId="26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justifyLastLine="1"/>
    </xf>
    <xf numFmtId="182" fontId="4" fillId="0" borderId="26" xfId="0" applyNumberFormat="1" applyFont="1" applyFill="1" applyBorder="1" applyAlignment="1">
      <alignment horizontal="right" vertical="center" justifyLastLine="1"/>
    </xf>
    <xf numFmtId="180" fontId="5" fillId="0" borderId="10" xfId="0" applyNumberFormat="1" applyFont="1" applyFill="1" applyBorder="1" applyAlignment="1">
      <alignment horizontal="right" vertical="center" justifyLastLine="1"/>
    </xf>
    <xf numFmtId="186" fontId="4" fillId="0" borderId="0" xfId="0" applyNumberFormat="1" applyFont="1" applyFill="1" applyBorder="1" applyAlignment="1">
      <alignment vertical="center"/>
    </xf>
    <xf numFmtId="0" fontId="35" fillId="0" borderId="0" xfId="0" applyFont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180" fontId="4" fillId="0" borderId="26" xfId="0" applyNumberFormat="1" applyFont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184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justifyLastLine="1"/>
    </xf>
    <xf numFmtId="0" fontId="9" fillId="0" borderId="23" xfId="0" applyFont="1" applyBorder="1" applyAlignment="1">
      <alignment horizontal="center" vertical="center" justifyLastLine="1"/>
    </xf>
    <xf numFmtId="0" fontId="9" fillId="0" borderId="15" xfId="0" applyFont="1" applyBorder="1" applyAlignment="1">
      <alignment horizontal="center" vertical="center" justifyLastLine="1"/>
    </xf>
    <xf numFmtId="184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Alignment="1">
      <alignment vertical="center"/>
    </xf>
    <xf numFmtId="0" fontId="4" fillId="0" borderId="23" xfId="0" applyFont="1" applyBorder="1" applyAlignment="1">
      <alignment horizontal="center" vertical="center" justifyLastLine="1"/>
    </xf>
    <xf numFmtId="0" fontId="4" fillId="0" borderId="15" xfId="0" applyFont="1" applyBorder="1" applyAlignment="1">
      <alignment horizontal="center" vertical="center" justifyLastLine="1"/>
    </xf>
    <xf numFmtId="177" fontId="1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justifyLastLine="1"/>
    </xf>
    <xf numFmtId="188" fontId="19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4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0" fillId="0" borderId="0" xfId="0" applyAlignment="1"/>
    <xf numFmtId="0" fontId="22" fillId="0" borderId="0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22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80" fontId="22" fillId="0" borderId="0" xfId="0" applyNumberFormat="1" applyFont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 shrinkToFit="1"/>
    </xf>
    <xf numFmtId="180" fontId="5" fillId="0" borderId="0" xfId="0" applyNumberFormat="1" applyFont="1" applyBorder="1" applyAlignment="1">
      <alignment horizontal="right" vertical="center" shrinkToFit="1"/>
    </xf>
    <xf numFmtId="182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Border="1" applyAlignment="1">
      <alignment vertical="center" shrinkToFit="1"/>
    </xf>
    <xf numFmtId="180" fontId="4" fillId="0" borderId="0" xfId="0" applyNumberFormat="1" applyFont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0" fillId="0" borderId="16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180" fontId="5" fillId="0" borderId="10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distributed" vertical="center" justifyLastLine="1"/>
    </xf>
    <xf numFmtId="0" fontId="22" fillId="0" borderId="18" xfId="0" applyFont="1" applyBorder="1" applyAlignment="1">
      <alignment horizontal="distributed" vertical="center" wrapText="1" justifyLastLine="1"/>
    </xf>
    <xf numFmtId="0" fontId="22" fillId="0" borderId="18" xfId="0" applyFont="1" applyBorder="1" applyAlignment="1">
      <alignment horizontal="center" vertical="center" wrapText="1"/>
    </xf>
    <xf numFmtId="182" fontId="4" fillId="0" borderId="0" xfId="3" applyNumberFormat="1" applyFont="1" applyFill="1" applyAlignment="1">
      <alignment vertical="center"/>
    </xf>
    <xf numFmtId="182" fontId="5" fillId="0" borderId="0" xfId="3" applyNumberFormat="1" applyFont="1" applyFill="1" applyBorder="1" applyAlignment="1">
      <alignment vertical="center"/>
    </xf>
    <xf numFmtId="182" fontId="5" fillId="0" borderId="0" xfId="3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distributed" vertical="center" justifyLastLine="1"/>
    </xf>
    <xf numFmtId="0" fontId="4" fillId="0" borderId="16" xfId="3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8" xfId="3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/>
    </xf>
    <xf numFmtId="182" fontId="5" fillId="0" borderId="10" xfId="3" applyNumberFormat="1" applyFont="1" applyFill="1" applyBorder="1" applyAlignment="1">
      <alignment vertical="center"/>
    </xf>
    <xf numFmtId="182" fontId="5" fillId="0" borderId="0" xfId="3" applyNumberFormat="1" applyFont="1" applyFill="1" applyBorder="1" applyAlignment="1">
      <alignment horizontal="right" vertical="center"/>
    </xf>
    <xf numFmtId="0" fontId="9" fillId="0" borderId="18" xfId="3" applyFont="1" applyFill="1" applyBorder="1" applyAlignment="1">
      <alignment horizontal="distributed" vertical="center" wrapText="1" justifyLastLine="1"/>
    </xf>
    <xf numFmtId="0" fontId="4" fillId="0" borderId="8" xfId="0" applyFont="1" applyBorder="1" applyAlignment="1">
      <alignment horizontal="center" vertical="center" justifyLastLine="1"/>
    </xf>
    <xf numFmtId="0" fontId="0" fillId="0" borderId="8" xfId="0" applyBorder="1" applyAlignment="1">
      <alignment horizontal="center" vertical="center" justifyLastLine="1"/>
    </xf>
    <xf numFmtId="0" fontId="14" fillId="0" borderId="0" xfId="3" applyFont="1" applyFill="1" applyAlignment="1">
      <alignment horizontal="distributed" vertical="center"/>
    </xf>
    <xf numFmtId="0" fontId="4" fillId="0" borderId="23" xfId="3" applyFont="1" applyFill="1" applyBorder="1" applyAlignment="1">
      <alignment horizontal="distributed" vertical="center" wrapText="1" justifyLastLine="1"/>
    </xf>
    <xf numFmtId="0" fontId="4" fillId="0" borderId="15" xfId="3" applyFont="1" applyFill="1" applyBorder="1" applyAlignment="1">
      <alignment horizontal="distributed" vertical="center" wrapText="1" justifyLastLine="1"/>
    </xf>
    <xf numFmtId="0" fontId="36" fillId="0" borderId="18" xfId="0" applyFont="1" applyBorder="1" applyAlignment="1">
      <alignment horizontal="distributed" vertical="center" justifyLastLine="1"/>
    </xf>
    <xf numFmtId="0" fontId="4" fillId="0" borderId="2" xfId="3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center" vertical="center"/>
    </xf>
    <xf numFmtId="194" fontId="22" fillId="0" borderId="0" xfId="0" applyNumberFormat="1" applyFont="1" applyAlignment="1">
      <alignment vertical="center"/>
    </xf>
    <xf numFmtId="194" fontId="23" fillId="0" borderId="0" xfId="0" applyNumberFormat="1" applyFont="1" applyAlignment="1">
      <alignment vertical="center"/>
    </xf>
    <xf numFmtId="38" fontId="22" fillId="0" borderId="10" xfId="13" applyFont="1" applyBorder="1" applyAlignment="1">
      <alignment vertical="center"/>
    </xf>
    <xf numFmtId="38" fontId="22" fillId="0" borderId="0" xfId="13" applyFont="1" applyBorder="1" applyAlignment="1">
      <alignment vertical="center"/>
    </xf>
    <xf numFmtId="38" fontId="23" fillId="0" borderId="10" xfId="13" applyFont="1" applyBorder="1" applyAlignment="1">
      <alignment vertical="center"/>
    </xf>
    <xf numFmtId="38" fontId="23" fillId="0" borderId="0" xfId="13" applyFont="1" applyBorder="1" applyAlignment="1">
      <alignment vertical="center"/>
    </xf>
    <xf numFmtId="193" fontId="22" fillId="0" borderId="0" xfId="0" applyNumberFormat="1" applyFont="1" applyAlignment="1">
      <alignment vertical="center"/>
    </xf>
    <xf numFmtId="193" fontId="23" fillId="0" borderId="0" xfId="0" applyNumberFormat="1" applyFont="1" applyAlignment="1">
      <alignment vertical="center"/>
    </xf>
    <xf numFmtId="0" fontId="22" fillId="0" borderId="13" xfId="0" applyNumberFormat="1" applyFont="1" applyBorder="1" applyAlignment="1">
      <alignment horizontal="distributed" vertical="center" justifyLastLine="1"/>
    </xf>
    <xf numFmtId="0" fontId="22" fillId="0" borderId="21" xfId="0" applyNumberFormat="1" applyFont="1" applyBorder="1" applyAlignment="1">
      <alignment horizontal="distributed" vertical="center" justifyLastLine="1"/>
    </xf>
    <xf numFmtId="0" fontId="22" fillId="0" borderId="12" xfId="0" applyNumberFormat="1" applyFont="1" applyBorder="1" applyAlignment="1">
      <alignment horizontal="distributed" vertical="center" justifyLastLine="1"/>
    </xf>
    <xf numFmtId="0" fontId="22" fillId="0" borderId="22" xfId="0" applyNumberFormat="1" applyFont="1" applyBorder="1" applyAlignment="1">
      <alignment horizontal="distributed" vertical="center" justifyLastLine="1"/>
    </xf>
    <xf numFmtId="176" fontId="44" fillId="0" borderId="2" xfId="0" applyNumberFormat="1" applyFont="1" applyFill="1" applyBorder="1" applyAlignment="1">
      <alignment horizontal="right" vertical="center"/>
    </xf>
    <xf numFmtId="176" fontId="44" fillId="0" borderId="2" xfId="13" applyNumberFormat="1" applyFont="1" applyFill="1" applyBorder="1" applyAlignment="1">
      <alignment horizontal="right" vertical="center"/>
    </xf>
    <xf numFmtId="0" fontId="44" fillId="0" borderId="32" xfId="0" applyFont="1" applyFill="1" applyBorder="1" applyAlignment="1">
      <alignment horizontal="distributed" vertical="center"/>
    </xf>
    <xf numFmtId="0" fontId="44" fillId="0" borderId="2" xfId="0" applyFont="1" applyFill="1" applyBorder="1" applyAlignment="1">
      <alignment horizontal="distributed" vertical="center"/>
    </xf>
    <xf numFmtId="0" fontId="44" fillId="0" borderId="30" xfId="0" applyFont="1" applyFill="1" applyBorder="1" applyAlignment="1">
      <alignment horizontal="distributed" vertical="center"/>
    </xf>
    <xf numFmtId="0" fontId="44" fillId="0" borderId="1" xfId="0" applyFont="1" applyFill="1" applyBorder="1" applyAlignment="1">
      <alignment horizontal="distributed" vertical="center"/>
    </xf>
    <xf numFmtId="176" fontId="44" fillId="0" borderId="31" xfId="13" applyNumberFormat="1" applyFont="1" applyFill="1" applyBorder="1" applyAlignment="1">
      <alignment horizontal="right" vertical="center"/>
    </xf>
    <xf numFmtId="176" fontId="44" fillId="0" borderId="1" xfId="0" applyNumberFormat="1" applyFont="1" applyFill="1" applyBorder="1" applyAlignment="1">
      <alignment horizontal="right" vertical="center"/>
    </xf>
    <xf numFmtId="176" fontId="44" fillId="0" borderId="1" xfId="13" applyNumberFormat="1" applyFont="1" applyFill="1" applyBorder="1" applyAlignment="1">
      <alignment horizontal="right" vertical="center"/>
    </xf>
    <xf numFmtId="176" fontId="44" fillId="0" borderId="29" xfId="13" applyNumberFormat="1" applyFont="1" applyFill="1" applyBorder="1" applyAlignment="1">
      <alignment horizontal="right" vertical="center"/>
    </xf>
    <xf numFmtId="176" fontId="4" fillId="0" borderId="0" xfId="13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7" fontId="21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/>
    </xf>
    <xf numFmtId="0" fontId="48" fillId="0" borderId="0" xfId="0" applyFont="1" applyFill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13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center" vertical="center" justifyLastLine="1"/>
    </xf>
    <xf numFmtId="0" fontId="23" fillId="0" borderId="0" xfId="0" applyFont="1" applyBorder="1" applyAlignment="1">
      <alignment horizontal="center" vertical="center" justifyLastLine="1"/>
    </xf>
    <xf numFmtId="176" fontId="4" fillId="0" borderId="0" xfId="13" applyNumberFormat="1" applyFont="1" applyBorder="1" applyAlignment="1">
      <alignment horizontal="right" vertical="center"/>
    </xf>
    <xf numFmtId="176" fontId="23" fillId="0" borderId="0" xfId="0" applyNumberFormat="1" applyFont="1" applyAlignment="1">
      <alignment horizontal="right" vertical="center"/>
    </xf>
    <xf numFmtId="0" fontId="22" fillId="0" borderId="25" xfId="0" applyFont="1" applyBorder="1" applyAlignment="1">
      <alignment horizontal="distributed" vertical="center" justifyLastLine="1"/>
    </xf>
    <xf numFmtId="184" fontId="22" fillId="0" borderId="0" xfId="0" applyNumberFormat="1" applyFont="1" applyAlignment="1">
      <alignment vertical="center"/>
    </xf>
    <xf numFmtId="195" fontId="22" fillId="0" borderId="0" xfId="0" applyNumberFormat="1" applyFont="1" applyAlignment="1">
      <alignment vertical="center"/>
    </xf>
    <xf numFmtId="184" fontId="23" fillId="0" borderId="0" xfId="0" applyNumberFormat="1" applyFont="1" applyAlignment="1">
      <alignment vertical="center"/>
    </xf>
    <xf numFmtId="195" fontId="2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84" fontId="0" fillId="0" borderId="0" xfId="0" applyNumberFormat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84" fontId="22" fillId="0" borderId="0" xfId="0" applyNumberFormat="1" applyFont="1" applyFill="1" applyBorder="1" applyAlignment="1">
      <alignment vertical="center"/>
    </xf>
    <xf numFmtId="184" fontId="44" fillId="0" borderId="33" xfId="0" applyNumberFormat="1" applyFont="1" applyBorder="1" applyAlignment="1">
      <alignment vertical="center"/>
    </xf>
    <xf numFmtId="0" fontId="44" fillId="0" borderId="33" xfId="0" applyFont="1" applyBorder="1" applyAlignment="1">
      <alignment horizontal="distributed" vertical="center"/>
    </xf>
    <xf numFmtId="177" fontId="44" fillId="0" borderId="33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177" fontId="23" fillId="0" borderId="0" xfId="0" applyNumberFormat="1" applyFont="1" applyAlignment="1">
      <alignment vertical="center"/>
    </xf>
    <xf numFmtId="184" fontId="0" fillId="0" borderId="0" xfId="0" applyNumberFormat="1" applyFill="1" applyBorder="1" applyAlignment="1">
      <alignment vertical="center"/>
    </xf>
    <xf numFmtId="184" fontId="23" fillId="0" borderId="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84" fontId="22" fillId="0" borderId="0" xfId="0" applyNumberFormat="1" applyFont="1" applyBorder="1" applyAlignment="1">
      <alignment vertical="center"/>
    </xf>
    <xf numFmtId="0" fontId="23" fillId="0" borderId="16" xfId="0" applyFont="1" applyBorder="1" applyAlignment="1">
      <alignment horizontal="distributed" vertical="center" justifyLastLine="1"/>
    </xf>
    <xf numFmtId="196" fontId="23" fillId="0" borderId="0" xfId="0" applyNumberFormat="1" applyFont="1" applyBorder="1" applyAlignment="1">
      <alignment vertical="center"/>
    </xf>
    <xf numFmtId="196" fontId="23" fillId="0" borderId="0" xfId="0" applyNumberFormat="1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196" fontId="22" fillId="0" borderId="0" xfId="0" applyNumberFormat="1" applyFont="1" applyAlignment="1">
      <alignment vertical="center"/>
    </xf>
    <xf numFmtId="196" fontId="22" fillId="0" borderId="0" xfId="0" applyNumberFormat="1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176" fontId="22" fillId="0" borderId="0" xfId="0" applyNumberFormat="1" applyFont="1" applyAlignment="1">
      <alignment horizontal="right" vertical="center"/>
    </xf>
    <xf numFmtId="0" fontId="53" fillId="0" borderId="0" xfId="0" applyFont="1" applyAlignment="1">
      <alignment horizontal="distributed" vertical="center"/>
    </xf>
    <xf numFmtId="0" fontId="22" fillId="0" borderId="8" xfId="0" applyFont="1" applyBorder="1" applyAlignment="1">
      <alignment horizontal="distributed" vertical="center"/>
    </xf>
    <xf numFmtId="0" fontId="22" fillId="0" borderId="17" xfId="0" applyFont="1" applyBorder="1" applyAlignment="1">
      <alignment horizontal="center" vertical="distributed" textRotation="255" justifyLastLine="1"/>
    </xf>
    <xf numFmtId="0" fontId="22" fillId="0" borderId="18" xfId="0" applyFont="1" applyBorder="1" applyAlignment="1">
      <alignment horizontal="center" vertical="distributed" textRotation="255" justifyLastLine="1"/>
    </xf>
    <xf numFmtId="0" fontId="22" fillId="0" borderId="36" xfId="0" applyFont="1" applyBorder="1" applyAlignment="1">
      <alignment horizontal="center" vertical="distributed" textRotation="255" justifyLastLine="1"/>
    </xf>
    <xf numFmtId="0" fontId="22" fillId="0" borderId="35" xfId="0" applyFont="1" applyBorder="1" applyAlignment="1">
      <alignment horizontal="center" vertical="distributed" textRotation="255" justifyLastLine="1"/>
    </xf>
    <xf numFmtId="0" fontId="22" fillId="0" borderId="8" xfId="0" applyFont="1" applyBorder="1" applyAlignment="1">
      <alignment horizontal="distributed" vertical="top"/>
    </xf>
    <xf numFmtId="49" fontId="22" fillId="0" borderId="8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distributed" vertical="center" justifyLastLine="1"/>
    </xf>
    <xf numFmtId="0" fontId="22" fillId="0" borderId="34" xfId="0" applyFont="1" applyBorder="1" applyAlignment="1">
      <alignment horizontal="distributed" vertical="center" justifyLastLine="1"/>
    </xf>
    <xf numFmtId="0" fontId="22" fillId="0" borderId="32" xfId="0" applyFont="1" applyBorder="1" applyAlignment="1">
      <alignment horizontal="distributed" vertical="center" justifyLastLine="1"/>
    </xf>
    <xf numFmtId="0" fontId="22" fillId="0" borderId="2" xfId="0" applyFont="1" applyBorder="1" applyAlignment="1">
      <alignment horizontal="distributed" vertical="center" indent="4"/>
    </xf>
    <xf numFmtId="0" fontId="22" fillId="0" borderId="7" xfId="0" applyFont="1" applyBorder="1" applyAlignment="1">
      <alignment horizontal="distributed" vertical="center" indent="4"/>
    </xf>
    <xf numFmtId="38" fontId="4" fillId="0" borderId="0" xfId="13" applyFont="1" applyFill="1" applyBorder="1" applyAlignment="1">
      <alignment vertical="center"/>
    </xf>
    <xf numFmtId="38" fontId="5" fillId="0" borderId="0" xfId="13" applyFont="1" applyFill="1" applyBorder="1" applyAlignment="1">
      <alignment vertical="center"/>
    </xf>
    <xf numFmtId="182" fontId="4" fillId="0" borderId="0" xfId="1" applyNumberFormat="1" applyFont="1" applyFill="1" applyBorder="1" applyAlignment="1">
      <alignment vertical="center"/>
    </xf>
    <xf numFmtId="182" fontId="5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38" fontId="22" fillId="0" borderId="0" xfId="13" applyFont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38" fontId="23" fillId="0" borderId="0" xfId="13" applyFont="1" applyAlignment="1">
      <alignment vertical="center"/>
    </xf>
    <xf numFmtId="38" fontId="23" fillId="0" borderId="0" xfId="13" applyFont="1" applyFill="1" applyBorder="1" applyAlignment="1">
      <alignment vertical="center"/>
    </xf>
  </cellXfs>
  <cellStyles count="14">
    <cellStyle name="桁区切り" xfId="13" builtinId="6"/>
    <cellStyle name="桁区切り 2" xfId="1"/>
    <cellStyle name="桁区切り 3" xfId="2"/>
    <cellStyle name="通貨 2" xfId="10"/>
    <cellStyle name="標準" xfId="0" builtinId="0"/>
    <cellStyle name="標準 2" xfId="3"/>
    <cellStyle name="標準 2 2" xfId="4"/>
    <cellStyle name="標準 2 3" xfId="6"/>
    <cellStyle name="標準 3" xfId="7"/>
    <cellStyle name="標準 3 2" xfId="8"/>
    <cellStyle name="標準 3 2 2" xfId="9"/>
    <cellStyle name="標準 3 3" xfId="11"/>
    <cellStyle name="標準 3_01まえがき" xfId="12"/>
    <cellStyle name="標準_00目次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47625</xdr:rowOff>
    </xdr:to>
    <xdr:grpSp>
      <xdr:nvGrpSpPr>
        <xdr:cNvPr id="2" name="グループ化 1"/>
        <xdr:cNvGrpSpPr/>
      </xdr:nvGrpSpPr>
      <xdr:grpSpPr>
        <a:xfrm>
          <a:off x="6953249" y="1066800"/>
          <a:ext cx="3505201" cy="10687050"/>
          <a:chOff x="7048499" y="1066800"/>
          <a:chExt cx="3505201" cy="10687050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7448550"/>
            <a:ext cx="3417194" cy="7797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24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10013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63898</xdr:colOff>
      <xdr:row>74</xdr:row>
      <xdr:rowOff>61153</xdr:rowOff>
    </xdr:from>
    <xdr:to>
      <xdr:col>37</xdr:col>
      <xdr:colOff>61045</xdr:colOff>
      <xdr:row>77</xdr:row>
      <xdr:rowOff>115688</xdr:rowOff>
    </xdr:to>
    <xdr:sp macro="" textlink="">
      <xdr:nvSpPr>
        <xdr:cNvPr id="18" name="角丸四角形 17"/>
        <xdr:cNvSpPr/>
      </xdr:nvSpPr>
      <xdr:spPr>
        <a:xfrm>
          <a:off x="17208898" y="12748453"/>
          <a:ext cx="8226747" cy="568885"/>
        </a:xfrm>
        <a:prstGeom prst="roundRect">
          <a:avLst>
            <a:gd name="adj" fmla="val 28975"/>
          </a:avLst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農林業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8" name="片側の 2 つの角を切り取った四角形 27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</xdr:colOff>
      <xdr:row>18</xdr:row>
      <xdr:rowOff>38100</xdr:rowOff>
    </xdr:from>
    <xdr:to>
      <xdr:col>28</xdr:col>
      <xdr:colOff>66675</xdr:colOff>
      <xdr:row>20</xdr:row>
      <xdr:rowOff>142875</xdr:rowOff>
    </xdr:to>
    <xdr:sp macro="" textlink="">
      <xdr:nvSpPr>
        <xdr:cNvPr id="2" name="右中かっこ 1"/>
        <xdr:cNvSpPr/>
      </xdr:nvSpPr>
      <xdr:spPr>
        <a:xfrm>
          <a:off x="18554700" y="3124200"/>
          <a:ext cx="714375" cy="4476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38100</xdr:colOff>
      <xdr:row>18</xdr:row>
      <xdr:rowOff>38100</xdr:rowOff>
    </xdr:from>
    <xdr:to>
      <xdr:col>14</xdr:col>
      <xdr:colOff>66675</xdr:colOff>
      <xdr:row>20</xdr:row>
      <xdr:rowOff>142875</xdr:rowOff>
    </xdr:to>
    <xdr:sp macro="" textlink="">
      <xdr:nvSpPr>
        <xdr:cNvPr id="3" name="右中かっこ 2"/>
        <xdr:cNvSpPr/>
      </xdr:nvSpPr>
      <xdr:spPr>
        <a:xfrm>
          <a:off x="8953500" y="3124200"/>
          <a:ext cx="714375" cy="4476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7"/>
  <sheetViews>
    <sheetView tabSelected="1" view="pageBreakPreview" zoomScaleNormal="100" zoomScaleSheetLayoutView="100" workbookViewId="0">
      <selection activeCell="D19" sqref="D19"/>
    </sheetView>
  </sheetViews>
  <sheetFormatPr defaultRowHeight="13.5"/>
  <cols>
    <col min="1" max="2" width="2.125" style="172" customWidth="1"/>
    <col min="3" max="3" width="0.75" style="172" customWidth="1"/>
    <col min="4" max="52" width="1.625" style="172" customWidth="1"/>
    <col min="53" max="57" width="1.75" style="172" customWidth="1"/>
    <col min="58" max="60" width="1.625" style="172" customWidth="1"/>
    <col min="61" max="67" width="1.625" style="171" customWidth="1"/>
    <col min="68" max="16384" width="9" style="171"/>
  </cols>
  <sheetData>
    <row r="1" spans="1:71" ht="11.1" customHeight="1">
      <c r="A1" s="171"/>
      <c r="AQ1" s="155"/>
      <c r="AR1" s="369">
        <v>183</v>
      </c>
      <c r="AS1" s="369"/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</row>
    <row r="2" spans="1:71" ht="11.1" customHeight="1">
      <c r="A2" s="171"/>
      <c r="B2" s="171"/>
      <c r="AQ2" s="155"/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</row>
    <row r="3" spans="1:71" ht="11.1" customHeight="1">
      <c r="A3" s="171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</row>
    <row r="4" spans="1:71" ht="11.1" customHeight="1">
      <c r="A4" s="171"/>
      <c r="B4" s="171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</row>
    <row r="5" spans="1:71" ht="11.1" customHeight="1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</row>
    <row r="6" spans="1:71" ht="11.1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</row>
    <row r="7" spans="1:71" ht="11.1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</row>
    <row r="8" spans="1:71" ht="11.1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290"/>
      <c r="BE8" s="290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</row>
    <row r="9" spans="1:71" ht="3" customHeight="1">
      <c r="A9" s="177"/>
      <c r="B9" s="178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265"/>
      <c r="BE9" s="289"/>
      <c r="BF9" s="284"/>
      <c r="BG9" s="284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</row>
    <row r="10" spans="1:71" ht="31.5" customHeight="1">
      <c r="A10" s="178"/>
      <c r="B10" s="178"/>
      <c r="C10" s="180"/>
      <c r="D10" s="181"/>
      <c r="E10" s="182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2"/>
      <c r="BA10" s="183"/>
      <c r="BB10" s="183"/>
      <c r="BC10" s="183"/>
      <c r="BD10" s="266"/>
      <c r="BE10" s="287"/>
      <c r="BF10" s="288"/>
      <c r="BG10" s="284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</row>
    <row r="11" spans="1:71" ht="18" customHeight="1">
      <c r="A11" s="178"/>
      <c r="B11" s="178"/>
      <c r="C11" s="176"/>
      <c r="D11" s="176"/>
      <c r="E11" s="176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76"/>
      <c r="BA11" s="183"/>
      <c r="BB11" s="183"/>
      <c r="BC11" s="183"/>
      <c r="BD11" s="266"/>
      <c r="BE11" s="287"/>
      <c r="BF11" s="282"/>
      <c r="BG11" s="284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</row>
    <row r="12" spans="1:71" ht="3" customHeight="1">
      <c r="A12" s="178"/>
      <c r="B12" s="178"/>
      <c r="C12" s="176"/>
      <c r="D12" s="176"/>
      <c r="E12" s="185"/>
      <c r="F12" s="180"/>
      <c r="G12" s="176"/>
      <c r="H12" s="176"/>
      <c r="I12" s="176"/>
      <c r="J12" s="176"/>
      <c r="K12" s="176"/>
      <c r="L12" s="176"/>
      <c r="M12" s="176"/>
      <c r="N12" s="186"/>
      <c r="O12" s="186"/>
      <c r="P12" s="186"/>
      <c r="Q12" s="186"/>
      <c r="R12" s="186"/>
      <c r="S12" s="186"/>
      <c r="T12" s="185"/>
      <c r="U12" s="185"/>
      <c r="V12" s="185"/>
      <c r="W12" s="185"/>
      <c r="X12" s="185"/>
      <c r="Y12" s="185"/>
      <c r="Z12" s="185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267"/>
      <c r="BE12" s="286"/>
      <c r="BF12" s="285"/>
      <c r="BG12" s="284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</row>
    <row r="13" spans="1:71" ht="3" customHeight="1">
      <c r="A13" s="178"/>
      <c r="B13" s="178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265"/>
      <c r="BE13" s="289"/>
      <c r="BF13" s="284"/>
      <c r="BG13" s="284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</row>
    <row r="14" spans="1:71" ht="31.5" customHeight="1">
      <c r="A14" s="178"/>
      <c r="B14" s="178"/>
      <c r="C14" s="180"/>
      <c r="D14" s="181"/>
      <c r="E14" s="182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2"/>
      <c r="BA14" s="183"/>
      <c r="BB14" s="183"/>
      <c r="BC14" s="183"/>
      <c r="BD14" s="266"/>
      <c r="BE14" s="287"/>
      <c r="BF14" s="288"/>
      <c r="BG14" s="284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</row>
    <row r="15" spans="1:71" ht="18" customHeight="1">
      <c r="A15" s="178"/>
      <c r="B15" s="178"/>
      <c r="C15" s="176"/>
      <c r="D15" s="176"/>
      <c r="E15" s="176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76"/>
      <c r="BA15" s="183"/>
      <c r="BB15" s="183"/>
      <c r="BC15" s="183"/>
      <c r="BD15" s="266"/>
      <c r="BE15" s="287"/>
      <c r="BF15" s="282"/>
      <c r="BG15" s="284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</row>
    <row r="16" spans="1:71" ht="3" customHeight="1">
      <c r="A16" s="185"/>
      <c r="B16" s="176"/>
      <c r="C16" s="176"/>
      <c r="D16" s="176"/>
      <c r="E16" s="185"/>
      <c r="F16" s="180"/>
      <c r="G16" s="176"/>
      <c r="H16" s="176"/>
      <c r="I16" s="176"/>
      <c r="J16" s="176"/>
      <c r="K16" s="176"/>
      <c r="L16" s="176"/>
      <c r="M16" s="176"/>
      <c r="N16" s="186"/>
      <c r="O16" s="186"/>
      <c r="P16" s="186"/>
      <c r="Q16" s="186"/>
      <c r="R16" s="186"/>
      <c r="S16" s="186"/>
      <c r="T16" s="185"/>
      <c r="U16" s="185"/>
      <c r="V16" s="185"/>
      <c r="W16" s="185"/>
      <c r="X16" s="185"/>
      <c r="Y16" s="185"/>
      <c r="Z16" s="185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267"/>
      <c r="BE16" s="286"/>
      <c r="BF16" s="285"/>
      <c r="BG16" s="284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</row>
    <row r="17" spans="1:71" ht="3" customHeight="1">
      <c r="A17" s="187"/>
      <c r="B17" s="188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265"/>
      <c r="BE17" s="289"/>
      <c r="BF17" s="284"/>
      <c r="BG17" s="284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</row>
    <row r="18" spans="1:71" ht="31.5" customHeight="1">
      <c r="A18" s="188"/>
      <c r="B18" s="188"/>
      <c r="C18" s="180"/>
      <c r="D18" s="181"/>
      <c r="E18" s="182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2"/>
      <c r="BA18" s="183"/>
      <c r="BB18" s="183"/>
      <c r="BC18" s="183"/>
      <c r="BD18" s="266"/>
      <c r="BE18" s="287"/>
      <c r="BF18" s="288"/>
      <c r="BG18" s="284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</row>
    <row r="19" spans="1:71" ht="18" customHeight="1">
      <c r="A19" s="188"/>
      <c r="B19" s="188"/>
      <c r="C19" s="176"/>
      <c r="D19" s="176"/>
      <c r="E19" s="176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76"/>
      <c r="BA19" s="183"/>
      <c r="BB19" s="183"/>
      <c r="BC19" s="183"/>
      <c r="BD19" s="266"/>
      <c r="BE19" s="287"/>
      <c r="BF19" s="282"/>
      <c r="BG19" s="284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</row>
    <row r="20" spans="1:71" ht="3" customHeight="1">
      <c r="A20" s="188"/>
      <c r="B20" s="188"/>
      <c r="C20" s="176"/>
      <c r="D20" s="176"/>
      <c r="E20" s="185"/>
      <c r="F20" s="180"/>
      <c r="G20" s="176"/>
      <c r="H20" s="176"/>
      <c r="I20" s="176"/>
      <c r="J20" s="176"/>
      <c r="K20" s="176"/>
      <c r="L20" s="176"/>
      <c r="M20" s="176"/>
      <c r="N20" s="186"/>
      <c r="O20" s="186"/>
      <c r="P20" s="186"/>
      <c r="Q20" s="186"/>
      <c r="R20" s="186"/>
      <c r="S20" s="186"/>
      <c r="T20" s="185"/>
      <c r="U20" s="185"/>
      <c r="V20" s="185"/>
      <c r="W20" s="185"/>
      <c r="X20" s="185"/>
      <c r="Y20" s="185"/>
      <c r="Z20" s="185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267"/>
      <c r="BE20" s="286"/>
      <c r="BF20" s="285"/>
      <c r="BG20" s="284"/>
      <c r="BH20" s="281"/>
      <c r="BI20" s="281"/>
      <c r="BJ20" s="281"/>
      <c r="BK20" s="281"/>
      <c r="BL20" s="281"/>
      <c r="BM20" s="281"/>
      <c r="BN20" s="281"/>
      <c r="BO20" s="281"/>
      <c r="BP20" s="281"/>
      <c r="BQ20" s="281"/>
      <c r="BR20" s="281"/>
      <c r="BS20" s="281"/>
    </row>
    <row r="21" spans="1:71" ht="3" customHeight="1">
      <c r="A21" s="188"/>
      <c r="B21" s="188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265"/>
      <c r="BE21" s="289"/>
      <c r="BF21" s="284"/>
      <c r="BG21" s="284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</row>
    <row r="22" spans="1:71" ht="31.5" customHeight="1">
      <c r="A22" s="188"/>
      <c r="B22" s="188"/>
      <c r="C22" s="180"/>
      <c r="D22" s="370" t="s">
        <v>445</v>
      </c>
      <c r="E22" s="370"/>
      <c r="F22" s="370"/>
      <c r="G22" s="370"/>
      <c r="H22" s="370"/>
      <c r="I22" s="370"/>
      <c r="J22" s="372" t="s">
        <v>444</v>
      </c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266"/>
      <c r="BE22" s="287"/>
      <c r="BF22" s="288"/>
      <c r="BG22" s="284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</row>
    <row r="23" spans="1:71" ht="18" customHeight="1">
      <c r="A23" s="188"/>
      <c r="B23" s="188"/>
      <c r="C23" s="176"/>
      <c r="D23" s="371"/>
      <c r="E23" s="371"/>
      <c r="F23" s="371"/>
      <c r="G23" s="371"/>
      <c r="H23" s="371"/>
      <c r="I23" s="371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  <c r="AQ23" s="374"/>
      <c r="AR23" s="374"/>
      <c r="AS23" s="374"/>
      <c r="AT23" s="374"/>
      <c r="AU23" s="374"/>
      <c r="AV23" s="374"/>
      <c r="AW23" s="374"/>
      <c r="AX23" s="374"/>
      <c r="AY23" s="374"/>
      <c r="AZ23" s="374"/>
      <c r="BA23" s="374"/>
      <c r="BB23" s="374"/>
      <c r="BC23" s="374"/>
      <c r="BD23" s="266"/>
      <c r="BE23" s="287"/>
      <c r="BF23" s="282"/>
      <c r="BG23" s="284"/>
      <c r="BH23" s="281"/>
      <c r="BI23" s="281"/>
      <c r="BJ23" s="281"/>
      <c r="BK23" s="281"/>
      <c r="BL23" s="281"/>
      <c r="BM23" s="281"/>
      <c r="BN23" s="281"/>
      <c r="BO23" s="281"/>
      <c r="BP23" s="281"/>
      <c r="BQ23" s="281"/>
      <c r="BR23" s="281"/>
      <c r="BS23" s="281"/>
    </row>
    <row r="24" spans="1:71" ht="3" customHeight="1">
      <c r="A24" s="188"/>
      <c r="B24" s="188"/>
      <c r="C24" s="176"/>
      <c r="D24" s="176"/>
      <c r="E24" s="185"/>
      <c r="F24" s="180"/>
      <c r="G24" s="176"/>
      <c r="H24" s="176"/>
      <c r="I24" s="176"/>
      <c r="J24" s="176"/>
      <c r="K24" s="176"/>
      <c r="L24" s="176"/>
      <c r="M24" s="176"/>
      <c r="N24" s="186"/>
      <c r="O24" s="186"/>
      <c r="P24" s="186"/>
      <c r="Q24" s="186"/>
      <c r="R24" s="186"/>
      <c r="S24" s="186"/>
      <c r="T24" s="185"/>
      <c r="U24" s="185"/>
      <c r="V24" s="185"/>
      <c r="W24" s="185"/>
      <c r="X24" s="185"/>
      <c r="Y24" s="185"/>
      <c r="Z24" s="185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267"/>
      <c r="BE24" s="286"/>
      <c r="BF24" s="285"/>
      <c r="BG24" s="284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</row>
    <row r="25" spans="1:71" ht="3" customHeight="1">
      <c r="A25" s="188"/>
      <c r="B25" s="188"/>
      <c r="C25" s="17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265"/>
      <c r="BE25" s="289"/>
      <c r="BF25" s="284"/>
      <c r="BG25" s="284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</row>
    <row r="26" spans="1:71" ht="31.5" customHeight="1">
      <c r="A26" s="188"/>
      <c r="B26" s="188"/>
      <c r="C26" s="180"/>
      <c r="D26" s="181"/>
      <c r="E26" s="182"/>
      <c r="F26" s="190" t="s">
        <v>436</v>
      </c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2"/>
      <c r="BA26" s="183"/>
      <c r="BB26" s="183"/>
      <c r="BC26" s="183"/>
      <c r="BD26" s="266"/>
      <c r="BE26" s="287"/>
      <c r="BF26" s="288"/>
      <c r="BG26" s="284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</row>
    <row r="27" spans="1:71" ht="18" customHeight="1">
      <c r="A27" s="188"/>
      <c r="B27" s="188"/>
      <c r="C27" s="176"/>
      <c r="D27" s="176"/>
      <c r="E27" s="176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76"/>
      <c r="BA27" s="183"/>
      <c r="BB27" s="183"/>
      <c r="BC27" s="183"/>
      <c r="BD27" s="266"/>
      <c r="BE27" s="287"/>
      <c r="BF27" s="282"/>
      <c r="BG27" s="284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</row>
    <row r="28" spans="1:71" ht="3" customHeight="1">
      <c r="A28" s="188"/>
      <c r="B28" s="188"/>
      <c r="C28" s="176"/>
      <c r="D28" s="176"/>
      <c r="E28" s="185"/>
      <c r="F28" s="180"/>
      <c r="G28" s="176"/>
      <c r="H28" s="176"/>
      <c r="I28" s="176"/>
      <c r="J28" s="176"/>
      <c r="K28" s="176"/>
      <c r="L28" s="176"/>
      <c r="M28" s="176"/>
      <c r="N28" s="186"/>
      <c r="O28" s="186"/>
      <c r="P28" s="186"/>
      <c r="Q28" s="186"/>
      <c r="R28" s="186"/>
      <c r="S28" s="186"/>
      <c r="T28" s="185"/>
      <c r="U28" s="185"/>
      <c r="V28" s="185"/>
      <c r="W28" s="185"/>
      <c r="X28" s="185"/>
      <c r="Y28" s="185"/>
      <c r="Z28" s="185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267"/>
      <c r="BE28" s="286"/>
      <c r="BF28" s="285"/>
      <c r="BG28" s="284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</row>
    <row r="29" spans="1:71" ht="3" customHeight="1">
      <c r="A29" s="188"/>
      <c r="B29" s="188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265"/>
      <c r="BE29" s="289"/>
      <c r="BF29" s="284"/>
      <c r="BG29" s="284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</row>
    <row r="30" spans="1:71" ht="31.5" customHeight="1">
      <c r="A30" s="188"/>
      <c r="B30" s="188"/>
      <c r="C30" s="180"/>
      <c r="D30" s="181"/>
      <c r="E30" s="182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2"/>
      <c r="BA30" s="183"/>
      <c r="BB30" s="183"/>
      <c r="BC30" s="183"/>
      <c r="BD30" s="266"/>
      <c r="BE30" s="287"/>
      <c r="BF30" s="288"/>
      <c r="BG30" s="284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</row>
    <row r="31" spans="1:71" ht="18" customHeight="1">
      <c r="A31" s="188"/>
      <c r="B31" s="188"/>
      <c r="C31" s="176"/>
      <c r="D31" s="176"/>
      <c r="E31" s="176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76"/>
      <c r="BA31" s="183"/>
      <c r="BB31" s="183"/>
      <c r="BC31" s="183"/>
      <c r="BD31" s="266"/>
      <c r="BE31" s="287"/>
      <c r="BF31" s="282"/>
      <c r="BG31" s="284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</row>
    <row r="32" spans="1:71" ht="3" customHeight="1">
      <c r="A32" s="188"/>
      <c r="B32" s="188"/>
      <c r="C32" s="176"/>
      <c r="D32" s="176"/>
      <c r="E32" s="185"/>
      <c r="F32" s="180"/>
      <c r="G32" s="176"/>
      <c r="H32" s="176"/>
      <c r="I32" s="176"/>
      <c r="J32" s="176"/>
      <c r="K32" s="176"/>
      <c r="L32" s="176"/>
      <c r="M32" s="176"/>
      <c r="N32" s="186"/>
      <c r="O32" s="186"/>
      <c r="P32" s="186"/>
      <c r="Q32" s="186"/>
      <c r="R32" s="186"/>
      <c r="S32" s="186"/>
      <c r="T32" s="185"/>
      <c r="U32" s="185"/>
      <c r="V32" s="185"/>
      <c r="W32" s="185"/>
      <c r="X32" s="185"/>
      <c r="Y32" s="185"/>
      <c r="Z32" s="185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267"/>
      <c r="BE32" s="286"/>
      <c r="BF32" s="285"/>
      <c r="BG32" s="284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1"/>
    </row>
    <row r="33" spans="1:71" ht="3" customHeight="1">
      <c r="A33" s="188"/>
      <c r="B33" s="188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265"/>
      <c r="BE33" s="289"/>
      <c r="BF33" s="284"/>
      <c r="BG33" s="284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</row>
    <row r="34" spans="1:71" ht="31.5" customHeight="1">
      <c r="A34" s="188"/>
      <c r="B34" s="188"/>
      <c r="C34" s="180"/>
      <c r="D34" s="181"/>
      <c r="E34" s="182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2"/>
      <c r="BA34" s="183"/>
      <c r="BB34" s="183"/>
      <c r="BC34" s="183"/>
      <c r="BD34" s="266"/>
      <c r="BE34" s="287"/>
      <c r="BF34" s="288"/>
      <c r="BG34" s="284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</row>
    <row r="35" spans="1:71" ht="18" customHeight="1">
      <c r="A35" s="188"/>
      <c r="B35" s="188"/>
      <c r="C35" s="176"/>
      <c r="D35" s="176"/>
      <c r="E35" s="176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76"/>
      <c r="BA35" s="183"/>
      <c r="BB35" s="183"/>
      <c r="BC35" s="183"/>
      <c r="BD35" s="266"/>
      <c r="BE35" s="287"/>
      <c r="BF35" s="282"/>
      <c r="BG35" s="284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</row>
    <row r="36" spans="1:71" ht="3" customHeight="1">
      <c r="A36" s="185"/>
      <c r="B36" s="176"/>
      <c r="C36" s="176"/>
      <c r="D36" s="176"/>
      <c r="E36" s="185"/>
      <c r="F36" s="180"/>
      <c r="G36" s="176"/>
      <c r="H36" s="176"/>
      <c r="I36" s="176"/>
      <c r="J36" s="176"/>
      <c r="K36" s="176"/>
      <c r="L36" s="176"/>
      <c r="M36" s="176"/>
      <c r="N36" s="186"/>
      <c r="O36" s="186"/>
      <c r="P36" s="186"/>
      <c r="Q36" s="186"/>
      <c r="R36" s="186"/>
      <c r="S36" s="186"/>
      <c r="T36" s="185"/>
      <c r="U36" s="185"/>
      <c r="V36" s="185"/>
      <c r="W36" s="185"/>
      <c r="X36" s="185"/>
      <c r="Y36" s="185"/>
      <c r="Z36" s="185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267"/>
      <c r="BE36" s="286"/>
      <c r="BF36" s="285"/>
      <c r="BG36" s="284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</row>
    <row r="37" spans="1:71" ht="3" customHeight="1">
      <c r="A37" s="187"/>
      <c r="B37" s="188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265"/>
      <c r="BE37" s="289"/>
      <c r="BF37" s="284"/>
      <c r="BG37" s="284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</row>
    <row r="38" spans="1:71" ht="31.5" customHeight="1">
      <c r="A38" s="188"/>
      <c r="B38" s="188"/>
      <c r="C38" s="180"/>
      <c r="D38" s="181"/>
      <c r="E38" s="182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2"/>
      <c r="BA38" s="183"/>
      <c r="BB38" s="183"/>
      <c r="BC38" s="183"/>
      <c r="BD38" s="266"/>
      <c r="BE38" s="287"/>
      <c r="BF38" s="288"/>
      <c r="BG38" s="284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1"/>
      <c r="BS38" s="281"/>
    </row>
    <row r="39" spans="1:71" ht="18" customHeight="1">
      <c r="A39" s="188"/>
      <c r="B39" s="188"/>
      <c r="C39" s="176"/>
      <c r="D39" s="176"/>
      <c r="E39" s="176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76"/>
      <c r="BA39" s="183"/>
      <c r="BB39" s="183"/>
      <c r="BC39" s="183"/>
      <c r="BD39" s="266"/>
      <c r="BE39" s="287"/>
      <c r="BF39" s="282"/>
      <c r="BG39" s="284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</row>
    <row r="40" spans="1:71" ht="3" customHeight="1">
      <c r="A40" s="188"/>
      <c r="B40" s="188"/>
      <c r="C40" s="176"/>
      <c r="D40" s="176"/>
      <c r="E40" s="185"/>
      <c r="F40" s="180"/>
      <c r="G40" s="176"/>
      <c r="H40" s="176"/>
      <c r="I40" s="176"/>
      <c r="J40" s="176"/>
      <c r="K40" s="176"/>
      <c r="L40" s="176"/>
      <c r="M40" s="176"/>
      <c r="N40" s="186"/>
      <c r="O40" s="186"/>
      <c r="P40" s="186"/>
      <c r="Q40" s="186"/>
      <c r="R40" s="186"/>
      <c r="S40" s="186"/>
      <c r="T40" s="185"/>
      <c r="U40" s="185"/>
      <c r="V40" s="185"/>
      <c r="W40" s="185"/>
      <c r="X40" s="185"/>
      <c r="Y40" s="185"/>
      <c r="Z40" s="185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267"/>
      <c r="BE40" s="286"/>
      <c r="BF40" s="285"/>
      <c r="BG40" s="284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</row>
    <row r="41" spans="1:71" ht="3" customHeight="1">
      <c r="A41" s="188"/>
      <c r="B41" s="188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265"/>
      <c r="BE41" s="289"/>
      <c r="BF41" s="284"/>
      <c r="BG41" s="284"/>
      <c r="BH41" s="281"/>
      <c r="BI41" s="281"/>
      <c r="BJ41" s="281"/>
      <c r="BK41" s="281"/>
      <c r="BL41" s="281"/>
      <c r="BM41" s="281"/>
      <c r="BN41" s="281"/>
      <c r="BO41" s="281"/>
      <c r="BP41" s="281"/>
      <c r="BQ41" s="281"/>
      <c r="BR41" s="281"/>
      <c r="BS41" s="281"/>
    </row>
    <row r="42" spans="1:71" ht="31.5" customHeight="1">
      <c r="A42" s="188"/>
      <c r="B42" s="188"/>
      <c r="C42" s="180"/>
      <c r="D42" s="181"/>
      <c r="E42" s="182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2"/>
      <c r="BA42" s="183"/>
      <c r="BB42" s="183"/>
      <c r="BC42" s="183"/>
      <c r="BD42" s="266"/>
      <c r="BE42" s="287"/>
      <c r="BF42" s="288"/>
      <c r="BG42" s="284"/>
      <c r="BH42" s="281"/>
      <c r="BI42" s="281"/>
      <c r="BJ42" s="281"/>
      <c r="BK42" s="281"/>
      <c r="BL42" s="281"/>
      <c r="BM42" s="281"/>
      <c r="BN42" s="281"/>
      <c r="BO42" s="281"/>
      <c r="BP42" s="281"/>
      <c r="BQ42" s="281"/>
      <c r="BR42" s="281"/>
      <c r="BS42" s="281"/>
    </row>
    <row r="43" spans="1:71" ht="21" customHeight="1">
      <c r="A43" s="188"/>
      <c r="B43" s="188"/>
      <c r="C43" s="176"/>
      <c r="D43" s="176"/>
      <c r="E43" s="176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76"/>
      <c r="BA43" s="183"/>
      <c r="BB43" s="183"/>
      <c r="BC43" s="183"/>
      <c r="BD43" s="266"/>
      <c r="BE43" s="287"/>
      <c r="BF43" s="282"/>
      <c r="BG43" s="284"/>
      <c r="BH43" s="281"/>
      <c r="BI43" s="281"/>
      <c r="BJ43" s="281"/>
      <c r="BK43" s="281"/>
      <c r="BL43" s="281"/>
      <c r="BM43" s="281"/>
      <c r="BN43" s="281"/>
      <c r="BO43" s="281"/>
      <c r="BP43" s="281"/>
      <c r="BQ43" s="281"/>
      <c r="BR43" s="281"/>
      <c r="BS43" s="281"/>
    </row>
    <row r="44" spans="1:71" ht="3" customHeight="1">
      <c r="A44" s="188"/>
      <c r="B44" s="188"/>
      <c r="C44" s="176"/>
      <c r="D44" s="176"/>
      <c r="E44" s="185"/>
      <c r="F44" s="180"/>
      <c r="G44" s="176"/>
      <c r="H44" s="176"/>
      <c r="I44" s="176"/>
      <c r="J44" s="176"/>
      <c r="K44" s="176"/>
      <c r="L44" s="176"/>
      <c r="M44" s="176"/>
      <c r="N44" s="186"/>
      <c r="O44" s="186"/>
      <c r="P44" s="186"/>
      <c r="Q44" s="186"/>
      <c r="R44" s="186"/>
      <c r="S44" s="186"/>
      <c r="T44" s="185"/>
      <c r="U44" s="185"/>
      <c r="V44" s="185"/>
      <c r="W44" s="185"/>
      <c r="X44" s="185"/>
      <c r="Y44" s="185"/>
      <c r="Z44" s="185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267"/>
      <c r="BE44" s="286"/>
      <c r="BF44" s="285"/>
      <c r="BG44" s="284"/>
      <c r="BH44" s="281"/>
      <c r="BI44" s="281"/>
      <c r="BJ44" s="281"/>
      <c r="BK44" s="281"/>
      <c r="BL44" s="281"/>
      <c r="BM44" s="281"/>
      <c r="BN44" s="281"/>
      <c r="BO44" s="281"/>
      <c r="BP44" s="281"/>
      <c r="BQ44" s="281"/>
      <c r="BR44" s="281"/>
      <c r="BS44" s="281"/>
    </row>
    <row r="45" spans="1:71" ht="3" customHeight="1">
      <c r="A45" s="188"/>
      <c r="B45" s="188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265"/>
      <c r="BE45" s="289"/>
      <c r="BF45" s="284"/>
      <c r="BG45" s="284"/>
      <c r="BH45" s="281"/>
      <c r="BI45" s="281"/>
      <c r="BJ45" s="281"/>
      <c r="BK45" s="281"/>
      <c r="BL45" s="281"/>
      <c r="BM45" s="281"/>
      <c r="BN45" s="281"/>
      <c r="BO45" s="281"/>
      <c r="BP45" s="281"/>
      <c r="BQ45" s="281"/>
      <c r="BR45" s="281"/>
      <c r="BS45" s="281"/>
    </row>
    <row r="46" spans="1:71" ht="31.5" customHeight="1">
      <c r="A46" s="188"/>
      <c r="B46" s="188"/>
      <c r="C46" s="180"/>
      <c r="D46" s="181"/>
      <c r="E46" s="182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2"/>
      <c r="BA46" s="183"/>
      <c r="BB46" s="183"/>
      <c r="BC46" s="183"/>
      <c r="BD46" s="266"/>
      <c r="BE46" s="287"/>
      <c r="BF46" s="288"/>
      <c r="BG46" s="284"/>
      <c r="BH46" s="281"/>
      <c r="BI46" s="281"/>
      <c r="BJ46" s="281"/>
      <c r="BK46" s="281"/>
      <c r="BL46" s="281"/>
      <c r="BM46" s="281"/>
      <c r="BN46" s="281"/>
      <c r="BO46" s="281"/>
      <c r="BP46" s="281"/>
      <c r="BQ46" s="281"/>
      <c r="BR46" s="281"/>
      <c r="BS46" s="281"/>
    </row>
    <row r="47" spans="1:71" ht="20.25" customHeight="1">
      <c r="A47" s="188"/>
      <c r="B47" s="188"/>
      <c r="C47" s="176"/>
      <c r="D47" s="176"/>
      <c r="E47" s="176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76"/>
      <c r="BA47" s="183"/>
      <c r="BB47" s="183"/>
      <c r="BC47" s="183"/>
      <c r="BD47" s="266"/>
      <c r="BE47" s="287"/>
      <c r="BF47" s="282"/>
      <c r="BG47" s="284"/>
      <c r="BH47" s="281"/>
      <c r="BI47" s="281"/>
      <c r="BJ47" s="281"/>
      <c r="BK47" s="281"/>
      <c r="BL47" s="281"/>
      <c r="BM47" s="281"/>
      <c r="BN47" s="281"/>
      <c r="BO47" s="281"/>
      <c r="BP47" s="281"/>
      <c r="BQ47" s="281"/>
      <c r="BR47" s="281"/>
      <c r="BS47" s="281"/>
    </row>
    <row r="48" spans="1:71" ht="3" customHeight="1">
      <c r="A48" s="188"/>
      <c r="B48" s="188"/>
      <c r="C48" s="176"/>
      <c r="D48" s="176"/>
      <c r="E48" s="185"/>
      <c r="F48" s="180"/>
      <c r="G48" s="176"/>
      <c r="H48" s="176"/>
      <c r="I48" s="176"/>
      <c r="J48" s="176"/>
      <c r="K48" s="176"/>
      <c r="L48" s="176"/>
      <c r="M48" s="176"/>
      <c r="N48" s="186"/>
      <c r="O48" s="186"/>
      <c r="P48" s="186"/>
      <c r="Q48" s="186"/>
      <c r="R48" s="186"/>
      <c r="S48" s="186"/>
      <c r="T48" s="185"/>
      <c r="U48" s="185"/>
      <c r="V48" s="185"/>
      <c r="W48" s="185"/>
      <c r="X48" s="185"/>
      <c r="Y48" s="185"/>
      <c r="Z48" s="185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267"/>
      <c r="BE48" s="286"/>
      <c r="BF48" s="285"/>
      <c r="BG48" s="284"/>
      <c r="BH48" s="281"/>
      <c r="BI48" s="281"/>
      <c r="BJ48" s="281"/>
      <c r="BK48" s="281"/>
      <c r="BL48" s="281"/>
      <c r="BM48" s="281"/>
      <c r="BN48" s="281"/>
      <c r="BO48" s="281"/>
      <c r="BP48" s="281"/>
      <c r="BQ48" s="281"/>
      <c r="BR48" s="281"/>
      <c r="BS48" s="281"/>
    </row>
    <row r="49" spans="1:71" ht="3" customHeight="1">
      <c r="A49" s="188"/>
      <c r="B49" s="188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265"/>
      <c r="BE49" s="289"/>
      <c r="BF49" s="284"/>
      <c r="BG49" s="284"/>
      <c r="BH49" s="281"/>
      <c r="BI49" s="281"/>
      <c r="BJ49" s="281"/>
      <c r="BK49" s="281"/>
      <c r="BL49" s="281"/>
      <c r="BM49" s="281"/>
      <c r="BN49" s="281"/>
      <c r="BO49" s="281"/>
      <c r="BP49" s="281"/>
      <c r="BQ49" s="281"/>
      <c r="BR49" s="281"/>
      <c r="BS49" s="281"/>
    </row>
    <row r="50" spans="1:71" ht="31.5" customHeight="1">
      <c r="A50" s="188"/>
      <c r="B50" s="188"/>
      <c r="C50" s="180"/>
      <c r="D50" s="181"/>
      <c r="E50" s="182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2"/>
      <c r="BA50" s="183"/>
      <c r="BB50" s="183"/>
      <c r="BC50" s="183"/>
      <c r="BD50" s="266"/>
      <c r="BE50" s="287"/>
      <c r="BF50" s="288"/>
      <c r="BG50" s="284"/>
      <c r="BH50" s="281"/>
      <c r="BI50" s="281"/>
      <c r="BJ50" s="281"/>
      <c r="BK50" s="281"/>
      <c r="BL50" s="281"/>
      <c r="BM50" s="281"/>
      <c r="BN50" s="281"/>
      <c r="BO50" s="281"/>
      <c r="BP50" s="281"/>
      <c r="BQ50" s="281"/>
      <c r="BR50" s="281"/>
      <c r="BS50" s="281"/>
    </row>
    <row r="51" spans="1:71" ht="18" customHeight="1">
      <c r="A51" s="188"/>
      <c r="B51" s="188"/>
      <c r="C51" s="176"/>
      <c r="D51" s="176"/>
      <c r="E51" s="176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76"/>
      <c r="BA51" s="183"/>
      <c r="BB51" s="183"/>
      <c r="BC51" s="183"/>
      <c r="BD51" s="266"/>
      <c r="BE51" s="287"/>
      <c r="BF51" s="282"/>
      <c r="BG51" s="284"/>
      <c r="BH51" s="281"/>
      <c r="BI51" s="281"/>
      <c r="BJ51" s="281"/>
      <c r="BK51" s="281"/>
      <c r="BL51" s="281"/>
      <c r="BM51" s="281"/>
      <c r="BN51" s="281"/>
      <c r="BO51" s="281"/>
      <c r="BP51" s="281"/>
      <c r="BQ51" s="281"/>
      <c r="BR51" s="281"/>
      <c r="BS51" s="281"/>
    </row>
    <row r="52" spans="1:71" ht="3" customHeight="1">
      <c r="A52" s="188"/>
      <c r="B52" s="188"/>
      <c r="C52" s="176"/>
      <c r="D52" s="176"/>
      <c r="E52" s="185"/>
      <c r="F52" s="180"/>
      <c r="G52" s="176"/>
      <c r="H52" s="176"/>
      <c r="I52" s="176"/>
      <c r="J52" s="176"/>
      <c r="K52" s="176"/>
      <c r="L52" s="176"/>
      <c r="M52" s="176"/>
      <c r="N52" s="186"/>
      <c r="O52" s="186"/>
      <c r="P52" s="186"/>
      <c r="Q52" s="186"/>
      <c r="R52" s="186"/>
      <c r="S52" s="186"/>
      <c r="T52" s="185"/>
      <c r="U52" s="185"/>
      <c r="V52" s="185"/>
      <c r="W52" s="185"/>
      <c r="X52" s="185"/>
      <c r="Y52" s="185"/>
      <c r="Z52" s="185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267"/>
      <c r="BE52" s="286"/>
      <c r="BF52" s="285"/>
      <c r="BG52" s="284"/>
      <c r="BH52" s="281"/>
      <c r="BI52" s="281"/>
      <c r="BJ52" s="281"/>
      <c r="BK52" s="281"/>
      <c r="BL52" s="281"/>
      <c r="BM52" s="281"/>
      <c r="BN52" s="281"/>
      <c r="BO52" s="281"/>
      <c r="BP52" s="281"/>
      <c r="BQ52" s="281"/>
      <c r="BR52" s="281"/>
      <c r="BS52" s="281"/>
    </row>
    <row r="53" spans="1:71" ht="3" customHeight="1">
      <c r="A53" s="188"/>
      <c r="B53" s="188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265"/>
      <c r="BE53" s="289"/>
      <c r="BF53" s="284"/>
      <c r="BG53" s="284"/>
      <c r="BH53" s="281"/>
      <c r="BI53" s="281"/>
      <c r="BJ53" s="281"/>
      <c r="BK53" s="281"/>
      <c r="BL53" s="281"/>
      <c r="BM53" s="281"/>
      <c r="BN53" s="281"/>
      <c r="BO53" s="281"/>
      <c r="BP53" s="281"/>
      <c r="BQ53" s="281"/>
      <c r="BR53" s="281"/>
      <c r="BS53" s="281"/>
    </row>
    <row r="54" spans="1:71" ht="31.5" customHeight="1">
      <c r="A54" s="188"/>
      <c r="B54" s="188"/>
      <c r="C54" s="180"/>
      <c r="D54" s="181"/>
      <c r="E54" s="182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2"/>
      <c r="BA54" s="183"/>
      <c r="BB54" s="183"/>
      <c r="BC54" s="183"/>
      <c r="BD54" s="266"/>
      <c r="BE54" s="287"/>
      <c r="BF54" s="288"/>
      <c r="BG54" s="284"/>
      <c r="BH54" s="281"/>
      <c r="BI54" s="281"/>
      <c r="BJ54" s="281"/>
      <c r="BK54" s="281"/>
      <c r="BL54" s="281"/>
      <c r="BM54" s="281"/>
      <c r="BN54" s="281"/>
      <c r="BO54" s="281"/>
      <c r="BP54" s="281"/>
      <c r="BQ54" s="281"/>
      <c r="BR54" s="281"/>
      <c r="BS54" s="281"/>
    </row>
    <row r="55" spans="1:71" ht="18" customHeight="1">
      <c r="A55" s="188"/>
      <c r="B55" s="188"/>
      <c r="C55" s="176"/>
      <c r="D55" s="176"/>
      <c r="E55" s="176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76"/>
      <c r="BA55" s="183"/>
      <c r="BB55" s="183"/>
      <c r="BC55" s="183"/>
      <c r="BD55" s="266"/>
      <c r="BE55" s="287"/>
      <c r="BF55" s="282"/>
      <c r="BG55" s="284"/>
      <c r="BH55" s="281"/>
      <c r="BI55" s="281"/>
      <c r="BJ55" s="281"/>
      <c r="BK55" s="281"/>
      <c r="BL55" s="281"/>
      <c r="BM55" s="281"/>
      <c r="BN55" s="281"/>
      <c r="BO55" s="281"/>
      <c r="BP55" s="281"/>
      <c r="BQ55" s="281"/>
      <c r="BR55" s="281"/>
      <c r="BS55" s="281"/>
    </row>
    <row r="56" spans="1:71" ht="3" customHeight="1">
      <c r="A56" s="176"/>
      <c r="B56" s="176"/>
      <c r="C56" s="176"/>
      <c r="D56" s="176"/>
      <c r="E56" s="185"/>
      <c r="F56" s="180"/>
      <c r="G56" s="176"/>
      <c r="H56" s="176"/>
      <c r="I56" s="176"/>
      <c r="J56" s="176"/>
      <c r="K56" s="176"/>
      <c r="L56" s="176"/>
      <c r="M56" s="176"/>
      <c r="N56" s="186"/>
      <c r="O56" s="186"/>
      <c r="P56" s="186"/>
      <c r="Q56" s="186"/>
      <c r="R56" s="186"/>
      <c r="S56" s="186"/>
      <c r="T56" s="185"/>
      <c r="U56" s="185"/>
      <c r="V56" s="185"/>
      <c r="W56" s="185"/>
      <c r="X56" s="185"/>
      <c r="Y56" s="185"/>
      <c r="Z56" s="185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267"/>
      <c r="BE56" s="286"/>
      <c r="BF56" s="285"/>
      <c r="BG56" s="284"/>
      <c r="BH56" s="281"/>
      <c r="BI56" s="281"/>
      <c r="BJ56" s="281"/>
      <c r="BK56" s="281"/>
      <c r="BL56" s="281"/>
      <c r="BM56" s="281"/>
      <c r="BN56" s="281"/>
      <c r="BO56" s="281"/>
      <c r="BP56" s="281"/>
      <c r="BQ56" s="281"/>
      <c r="BR56" s="281"/>
      <c r="BS56" s="281"/>
    </row>
    <row r="57" spans="1:71" ht="3" customHeight="1">
      <c r="A57" s="191"/>
      <c r="B57" s="192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265"/>
      <c r="BE57" s="289"/>
      <c r="BF57" s="284"/>
      <c r="BG57" s="284"/>
      <c r="BH57" s="281"/>
      <c r="BI57" s="281"/>
      <c r="BJ57" s="281"/>
      <c r="BK57" s="281"/>
      <c r="BL57" s="281"/>
      <c r="BM57" s="281"/>
      <c r="BN57" s="281"/>
      <c r="BO57" s="281"/>
      <c r="BP57" s="281"/>
      <c r="BQ57" s="281"/>
      <c r="BR57" s="281"/>
      <c r="BS57" s="281"/>
    </row>
    <row r="58" spans="1:71" ht="31.5" customHeight="1">
      <c r="A58" s="192"/>
      <c r="B58" s="192"/>
      <c r="C58" s="180"/>
      <c r="D58" s="181"/>
      <c r="E58" s="182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2"/>
      <c r="BA58" s="183"/>
      <c r="BB58" s="183"/>
      <c r="BC58" s="183"/>
      <c r="BD58" s="266"/>
      <c r="BE58" s="287"/>
      <c r="BF58" s="288"/>
      <c r="BG58" s="284"/>
      <c r="BH58" s="281"/>
      <c r="BI58" s="281"/>
      <c r="BJ58" s="281"/>
      <c r="BK58" s="281"/>
      <c r="BL58" s="281"/>
      <c r="BM58" s="281"/>
      <c r="BN58" s="281"/>
      <c r="BO58" s="281"/>
      <c r="BP58" s="281"/>
      <c r="BQ58" s="281"/>
      <c r="BR58" s="281"/>
      <c r="BS58" s="281"/>
    </row>
    <row r="59" spans="1:71" ht="18" customHeight="1">
      <c r="A59" s="192"/>
      <c r="B59" s="192"/>
      <c r="C59" s="176"/>
      <c r="D59" s="176"/>
      <c r="E59" s="176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76"/>
      <c r="BA59" s="183"/>
      <c r="BB59" s="183"/>
      <c r="BC59" s="183"/>
      <c r="BD59" s="266"/>
      <c r="BE59" s="287"/>
      <c r="BF59" s="282"/>
      <c r="BG59" s="284"/>
      <c r="BH59" s="281"/>
      <c r="BI59" s="281"/>
      <c r="BJ59" s="281"/>
      <c r="BK59" s="281"/>
      <c r="BL59" s="281"/>
      <c r="BM59" s="281"/>
      <c r="BN59" s="281"/>
      <c r="BO59" s="281"/>
      <c r="BP59" s="281"/>
      <c r="BQ59" s="281"/>
      <c r="BR59" s="281"/>
      <c r="BS59" s="281"/>
    </row>
    <row r="60" spans="1:71" ht="3" customHeight="1">
      <c r="A60" s="192"/>
      <c r="B60" s="192"/>
      <c r="C60" s="176"/>
      <c r="D60" s="176"/>
      <c r="E60" s="185"/>
      <c r="F60" s="180"/>
      <c r="G60" s="176"/>
      <c r="H60" s="176"/>
      <c r="I60" s="176"/>
      <c r="J60" s="176"/>
      <c r="K60" s="176"/>
      <c r="L60" s="176"/>
      <c r="M60" s="176"/>
      <c r="N60" s="186"/>
      <c r="O60" s="186"/>
      <c r="P60" s="186"/>
      <c r="Q60" s="186"/>
      <c r="R60" s="186"/>
      <c r="S60" s="186"/>
      <c r="T60" s="185"/>
      <c r="U60" s="185"/>
      <c r="V60" s="185"/>
      <c r="W60" s="185"/>
      <c r="X60" s="185"/>
      <c r="Y60" s="185"/>
      <c r="Z60" s="185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267"/>
      <c r="BE60" s="286"/>
      <c r="BF60" s="285"/>
      <c r="BG60" s="284"/>
      <c r="BH60" s="281"/>
      <c r="BI60" s="281"/>
      <c r="BJ60" s="281"/>
      <c r="BK60" s="281"/>
      <c r="BL60" s="281"/>
      <c r="BM60" s="281"/>
      <c r="BN60" s="281"/>
      <c r="BO60" s="281"/>
      <c r="BP60" s="281"/>
      <c r="BQ60" s="281"/>
      <c r="BR60" s="281"/>
      <c r="BS60" s="281"/>
    </row>
    <row r="61" spans="1:71" ht="3" customHeight="1">
      <c r="A61" s="192"/>
      <c r="B61" s="192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265"/>
      <c r="BE61" s="289"/>
      <c r="BF61" s="284"/>
      <c r="BG61" s="284"/>
      <c r="BH61" s="281"/>
      <c r="BI61" s="281"/>
      <c r="BJ61" s="281"/>
      <c r="BK61" s="281"/>
      <c r="BL61" s="281"/>
      <c r="BM61" s="281"/>
      <c r="BN61" s="281"/>
      <c r="BO61" s="281"/>
      <c r="BP61" s="281"/>
      <c r="BQ61" s="281"/>
      <c r="BR61" s="281"/>
      <c r="BS61" s="281"/>
    </row>
    <row r="62" spans="1:71" ht="31.5" customHeight="1">
      <c r="A62" s="192"/>
      <c r="B62" s="192"/>
      <c r="C62" s="180"/>
      <c r="D62" s="181"/>
      <c r="E62" s="182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2"/>
      <c r="BA62" s="183"/>
      <c r="BB62" s="183"/>
      <c r="BC62" s="183"/>
      <c r="BD62" s="266"/>
      <c r="BE62" s="287"/>
      <c r="BF62" s="288"/>
      <c r="BG62" s="284"/>
      <c r="BH62" s="281"/>
      <c r="BI62" s="281"/>
      <c r="BJ62" s="281"/>
      <c r="BK62" s="281"/>
      <c r="BL62" s="281"/>
      <c r="BM62" s="281"/>
      <c r="BN62" s="281"/>
      <c r="BO62" s="281"/>
      <c r="BP62" s="281"/>
      <c r="BQ62" s="281"/>
      <c r="BR62" s="281"/>
      <c r="BS62" s="281"/>
    </row>
    <row r="63" spans="1:71" ht="18" customHeight="1">
      <c r="A63" s="192"/>
      <c r="B63" s="192"/>
      <c r="C63" s="176"/>
      <c r="D63" s="176"/>
      <c r="E63" s="176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76"/>
      <c r="BA63" s="183"/>
      <c r="BB63" s="183"/>
      <c r="BC63" s="183"/>
      <c r="BD63" s="266"/>
      <c r="BE63" s="287"/>
      <c r="BF63" s="282"/>
      <c r="BG63" s="284"/>
      <c r="BH63" s="281"/>
      <c r="BI63" s="281"/>
      <c r="BJ63" s="281"/>
      <c r="BK63" s="281"/>
      <c r="BL63" s="281"/>
      <c r="BM63" s="281"/>
      <c r="BN63" s="281"/>
      <c r="BO63" s="281"/>
      <c r="BP63" s="281"/>
      <c r="BQ63" s="281"/>
      <c r="BR63" s="281"/>
      <c r="BS63" s="281"/>
    </row>
    <row r="64" spans="1:71" ht="3" customHeight="1">
      <c r="A64" s="185"/>
      <c r="B64" s="176"/>
      <c r="C64" s="176"/>
      <c r="D64" s="176"/>
      <c r="E64" s="185"/>
      <c r="F64" s="180"/>
      <c r="G64" s="176"/>
      <c r="H64" s="176"/>
      <c r="I64" s="176"/>
      <c r="J64" s="176"/>
      <c r="K64" s="176"/>
      <c r="L64" s="176"/>
      <c r="M64" s="176"/>
      <c r="N64" s="186"/>
      <c r="O64" s="186"/>
      <c r="P64" s="186"/>
      <c r="Q64" s="186"/>
      <c r="R64" s="186"/>
      <c r="S64" s="186"/>
      <c r="T64" s="185"/>
      <c r="U64" s="185"/>
      <c r="V64" s="185"/>
      <c r="W64" s="185"/>
      <c r="X64" s="185"/>
      <c r="Y64" s="185"/>
      <c r="Z64" s="185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267"/>
      <c r="BE64" s="286"/>
      <c r="BF64" s="285"/>
      <c r="BG64" s="284"/>
      <c r="BH64" s="281"/>
      <c r="BI64" s="281"/>
      <c r="BJ64" s="281"/>
      <c r="BK64" s="281"/>
      <c r="BL64" s="281"/>
      <c r="BM64" s="281"/>
      <c r="BN64" s="281"/>
      <c r="BO64" s="281"/>
      <c r="BP64" s="281"/>
      <c r="BQ64" s="281"/>
      <c r="BR64" s="281"/>
      <c r="BS64" s="281"/>
    </row>
    <row r="65" spans="1:71" ht="3" customHeight="1">
      <c r="A65" s="193"/>
      <c r="B65" s="193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85"/>
      <c r="BB65" s="179"/>
      <c r="BC65" s="179"/>
      <c r="BD65" s="265"/>
      <c r="BE65" s="289"/>
      <c r="BF65" s="284"/>
      <c r="BG65" s="284"/>
      <c r="BH65" s="281"/>
      <c r="BI65" s="281"/>
      <c r="BJ65" s="281"/>
      <c r="BK65" s="281"/>
      <c r="BL65" s="281"/>
      <c r="BM65" s="281"/>
      <c r="BN65" s="281"/>
      <c r="BO65" s="281"/>
      <c r="BP65" s="281"/>
      <c r="BQ65" s="281"/>
      <c r="BR65" s="281"/>
      <c r="BS65" s="281"/>
    </row>
    <row r="66" spans="1:71" ht="31.5" customHeight="1">
      <c r="A66" s="193"/>
      <c r="B66" s="193"/>
      <c r="C66" s="180"/>
      <c r="D66" s="181"/>
      <c r="E66" s="182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2"/>
      <c r="BA66" s="183"/>
      <c r="BB66" s="183"/>
      <c r="BC66" s="183"/>
      <c r="BD66" s="266"/>
      <c r="BE66" s="287"/>
      <c r="BF66" s="288"/>
      <c r="BG66" s="284"/>
      <c r="BH66" s="281"/>
      <c r="BI66" s="281"/>
      <c r="BJ66" s="281"/>
      <c r="BK66" s="281"/>
      <c r="BL66" s="281"/>
      <c r="BM66" s="281"/>
      <c r="BN66" s="281"/>
      <c r="BO66" s="281"/>
      <c r="BP66" s="281"/>
      <c r="BQ66" s="281"/>
      <c r="BR66" s="281"/>
      <c r="BS66" s="281"/>
    </row>
    <row r="67" spans="1:71" ht="18" customHeight="1">
      <c r="A67" s="193"/>
      <c r="B67" s="193"/>
      <c r="C67" s="176"/>
      <c r="D67" s="176"/>
      <c r="E67" s="176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76"/>
      <c r="BA67" s="183"/>
      <c r="BB67" s="183"/>
      <c r="BC67" s="183"/>
      <c r="BD67" s="266"/>
      <c r="BE67" s="287"/>
      <c r="BF67" s="282"/>
      <c r="BG67" s="284"/>
      <c r="BH67" s="281"/>
      <c r="BI67" s="281"/>
      <c r="BJ67" s="281"/>
      <c r="BK67" s="281"/>
      <c r="BL67" s="281"/>
      <c r="BM67" s="281"/>
      <c r="BN67" s="281"/>
      <c r="BO67" s="281"/>
      <c r="BP67" s="281"/>
      <c r="BQ67" s="281"/>
      <c r="BR67" s="281"/>
      <c r="BS67" s="281"/>
    </row>
    <row r="68" spans="1:71" ht="3" customHeight="1">
      <c r="A68" s="185"/>
      <c r="B68" s="176"/>
      <c r="C68" s="176"/>
      <c r="D68" s="176"/>
      <c r="E68" s="185"/>
      <c r="F68" s="180"/>
      <c r="G68" s="176"/>
      <c r="H68" s="176"/>
      <c r="I68" s="176"/>
      <c r="J68" s="176"/>
      <c r="K68" s="176"/>
      <c r="L68" s="176"/>
      <c r="M68" s="176"/>
      <c r="N68" s="186"/>
      <c r="O68" s="186"/>
      <c r="P68" s="186"/>
      <c r="Q68" s="186"/>
      <c r="R68" s="186"/>
      <c r="S68" s="186"/>
      <c r="T68" s="185"/>
      <c r="U68" s="185"/>
      <c r="V68" s="185"/>
      <c r="W68" s="185"/>
      <c r="X68" s="185"/>
      <c r="Y68" s="185"/>
      <c r="Z68" s="185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267"/>
      <c r="BE68" s="286"/>
      <c r="BF68" s="285"/>
      <c r="BG68" s="284"/>
      <c r="BH68" s="281"/>
      <c r="BI68" s="281"/>
      <c r="BJ68" s="281"/>
      <c r="BK68" s="281"/>
      <c r="BL68" s="281"/>
      <c r="BM68" s="281"/>
      <c r="BN68" s="281"/>
      <c r="BO68" s="281"/>
      <c r="BP68" s="281"/>
      <c r="BQ68" s="281"/>
      <c r="BR68" s="281"/>
      <c r="BS68" s="281"/>
    </row>
    <row r="69" spans="1:71">
      <c r="G69" s="194"/>
      <c r="H69" s="194"/>
      <c r="I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6"/>
      <c r="AQ69" s="196"/>
      <c r="AR69" s="196"/>
      <c r="AS69" s="196"/>
      <c r="AT69" s="196"/>
      <c r="AU69" s="196"/>
      <c r="AV69" s="196"/>
      <c r="BD69" s="268"/>
      <c r="BE69" s="283"/>
      <c r="BF69" s="282"/>
      <c r="BG69" s="282"/>
      <c r="BH69" s="282"/>
      <c r="BI69" s="281"/>
      <c r="BJ69" s="281"/>
      <c r="BK69" s="281"/>
      <c r="BL69" s="281"/>
      <c r="BM69" s="281"/>
      <c r="BN69" s="281"/>
      <c r="BO69" s="281"/>
      <c r="BP69" s="281"/>
      <c r="BQ69" s="281"/>
      <c r="BR69" s="281"/>
      <c r="BS69" s="281"/>
    </row>
    <row r="70" spans="1:71">
      <c r="AY70" s="197"/>
      <c r="BA70" s="197"/>
      <c r="BB70" s="197"/>
      <c r="BC70" s="197"/>
      <c r="BD70" s="197"/>
      <c r="BE70" s="269"/>
      <c r="BF70" s="269"/>
      <c r="BG70" s="269"/>
      <c r="BH70" s="264"/>
      <c r="BI70" s="264"/>
      <c r="BJ70" s="264"/>
      <c r="BK70" s="264"/>
      <c r="BL70" s="264"/>
      <c r="BM70" s="264"/>
      <c r="BN70" s="264"/>
      <c r="BO70" s="264"/>
      <c r="BP70" s="264"/>
      <c r="BQ70" s="264"/>
      <c r="BR70" s="264"/>
      <c r="BS70" s="264"/>
    </row>
    <row r="71" spans="1:71" ht="12" customHeight="1">
      <c r="AY71" s="197"/>
      <c r="BA71" s="197"/>
      <c r="BB71" s="197"/>
      <c r="BC71" s="197"/>
      <c r="BD71" s="197"/>
      <c r="BE71" s="197"/>
      <c r="BF71" s="197"/>
      <c r="BG71" s="197"/>
      <c r="BH71" s="171"/>
    </row>
    <row r="72" spans="1:71" ht="12" customHeight="1">
      <c r="AY72" s="197"/>
      <c r="BA72" s="197"/>
      <c r="BB72" s="197"/>
      <c r="BC72" s="197"/>
      <c r="BD72" s="197"/>
      <c r="BE72" s="197"/>
      <c r="BF72" s="197"/>
      <c r="BG72" s="197"/>
      <c r="BH72" s="171"/>
    </row>
    <row r="73" spans="1:71" ht="12" customHeight="1">
      <c r="AY73" s="197"/>
      <c r="BA73" s="197"/>
      <c r="BB73" s="197"/>
      <c r="BC73" s="197"/>
      <c r="BD73" s="197"/>
      <c r="BE73" s="197"/>
      <c r="BF73" s="197"/>
      <c r="BG73" s="197"/>
      <c r="BH73" s="171"/>
    </row>
    <row r="74" spans="1:71" ht="12" customHeight="1">
      <c r="AY74" s="197"/>
      <c r="BA74" s="197"/>
      <c r="BB74" s="197"/>
      <c r="BC74" s="197"/>
      <c r="BD74" s="197"/>
      <c r="BE74" s="197"/>
      <c r="BF74" s="197"/>
      <c r="BG74" s="197"/>
      <c r="BH74" s="171"/>
    </row>
    <row r="75" spans="1:71">
      <c r="AY75" s="197"/>
      <c r="BA75" s="197"/>
      <c r="BB75" s="197"/>
      <c r="BC75" s="197"/>
      <c r="BD75" s="197"/>
      <c r="BE75" s="197"/>
      <c r="BF75" s="197"/>
      <c r="BG75" s="197"/>
      <c r="BH75" s="171"/>
    </row>
    <row r="76" spans="1:71">
      <c r="AY76" s="197"/>
      <c r="BA76" s="197"/>
      <c r="BB76" s="197"/>
      <c r="BC76" s="197"/>
      <c r="BD76" s="197"/>
      <c r="BE76" s="197"/>
      <c r="BF76" s="197"/>
      <c r="BG76" s="197"/>
      <c r="BH76" s="171"/>
    </row>
    <row r="77" spans="1:71">
      <c r="AY77" s="197"/>
      <c r="BA77" s="197"/>
      <c r="BB77" s="197"/>
      <c r="BC77" s="197"/>
      <c r="BD77" s="197"/>
      <c r="BE77" s="197"/>
      <c r="BF77" s="197"/>
      <c r="BG77" s="197"/>
      <c r="BH77" s="171"/>
    </row>
    <row r="78" spans="1:71">
      <c r="AY78" s="197"/>
      <c r="BA78" s="197"/>
      <c r="BB78" s="197"/>
      <c r="BC78" s="197"/>
      <c r="BD78" s="197"/>
      <c r="BE78" s="197"/>
      <c r="BF78" s="197"/>
      <c r="BG78" s="197"/>
      <c r="BH78" s="171"/>
    </row>
    <row r="80" spans="1:71">
      <c r="A80" s="171"/>
      <c r="B80" s="171"/>
    </row>
    <row r="81" spans="1:62" s="172" customFormat="1">
      <c r="A81" s="171"/>
      <c r="B81" s="171"/>
      <c r="BI81" s="171"/>
      <c r="BJ81" s="171"/>
    </row>
    <row r="82" spans="1:62" s="172" customFormat="1">
      <c r="A82" s="171"/>
      <c r="B82" s="171"/>
      <c r="BI82" s="171"/>
      <c r="BJ82" s="171"/>
    </row>
    <row r="83" spans="1:62" s="172" customFormat="1">
      <c r="A83" s="171"/>
      <c r="B83" s="171"/>
      <c r="BI83" s="171"/>
      <c r="BJ83" s="171"/>
    </row>
    <row r="84" spans="1:62" s="172" customFormat="1">
      <c r="A84" s="171"/>
      <c r="B84" s="171"/>
      <c r="BI84" s="171"/>
      <c r="BJ84" s="171"/>
    </row>
    <row r="85" spans="1:62" s="172" customFormat="1">
      <c r="A85" s="171"/>
      <c r="B85" s="171"/>
      <c r="BI85" s="171"/>
      <c r="BJ85" s="171"/>
    </row>
    <row r="86" spans="1:62" s="172" customFormat="1">
      <c r="A86" s="171"/>
      <c r="B86" s="171"/>
      <c r="BI86" s="171"/>
      <c r="BJ86" s="171"/>
    </row>
    <row r="87" spans="1:62" s="172" customFormat="1">
      <c r="A87" s="171"/>
      <c r="B87" s="171"/>
      <c r="BI87" s="171"/>
      <c r="BJ87" s="171"/>
    </row>
    <row r="88" spans="1:62" s="172" customFormat="1">
      <c r="A88" s="171"/>
      <c r="B88" s="171"/>
      <c r="BI88" s="171"/>
      <c r="BJ88" s="171"/>
    </row>
    <row r="89" spans="1:62" s="172" customFormat="1">
      <c r="A89" s="171"/>
      <c r="B89" s="171"/>
      <c r="BI89" s="171"/>
      <c r="BJ89" s="171"/>
    </row>
    <row r="90" spans="1:62" s="172" customFormat="1">
      <c r="A90" s="171"/>
      <c r="B90" s="171"/>
      <c r="BI90" s="171"/>
      <c r="BJ90" s="171"/>
    </row>
    <row r="91" spans="1:62" s="172" customFormat="1">
      <c r="A91" s="171"/>
      <c r="B91" s="171"/>
      <c r="BI91" s="171"/>
      <c r="BJ91" s="171"/>
    </row>
    <row r="92" spans="1:62" s="172" customFormat="1">
      <c r="A92" s="171"/>
      <c r="B92" s="171"/>
      <c r="BI92" s="171"/>
      <c r="BJ92" s="171"/>
    </row>
    <row r="93" spans="1:62" s="172" customFormat="1">
      <c r="A93" s="171"/>
      <c r="B93" s="171"/>
      <c r="BI93" s="171"/>
      <c r="BJ93" s="171"/>
    </row>
    <row r="94" spans="1:62" s="172" customFormat="1">
      <c r="A94" s="171"/>
      <c r="B94" s="171"/>
      <c r="BI94" s="171"/>
      <c r="BJ94" s="171"/>
    </row>
    <row r="95" spans="1:62" s="172" customFormat="1">
      <c r="A95" s="171"/>
      <c r="B95" s="171"/>
      <c r="BI95" s="171"/>
      <c r="BJ95" s="171"/>
    </row>
    <row r="96" spans="1:62" s="172" customFormat="1">
      <c r="A96" s="171"/>
      <c r="B96" s="171"/>
      <c r="BI96" s="171"/>
      <c r="BJ96" s="171"/>
    </row>
    <row r="97" spans="1:62" s="172" customFormat="1">
      <c r="A97" s="171"/>
      <c r="B97" s="171"/>
      <c r="BI97" s="171"/>
      <c r="BJ97" s="171"/>
    </row>
  </sheetData>
  <mergeCells count="3">
    <mergeCell ref="AR1:BJ2"/>
    <mergeCell ref="D22:I23"/>
    <mergeCell ref="J22:BC23"/>
  </mergeCells>
  <phoneticPr fontId="25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J17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2" ht="11.1" customHeight="1">
      <c r="A1" s="376">
        <f>'191'!AW1+1</f>
        <v>192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</row>
    <row r="2" spans="1:62" ht="11.1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62" ht="11.1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62" ht="11.1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62" ht="18" customHeight="1">
      <c r="B5" s="379" t="s">
        <v>395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</row>
    <row r="6" spans="1:62" ht="12.95" customHeight="1">
      <c r="BJ6" s="20"/>
    </row>
    <row r="7" spans="1:62" ht="13.5" customHeight="1">
      <c r="B7" s="411" t="s">
        <v>58</v>
      </c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 t="s">
        <v>59</v>
      </c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 t="s">
        <v>60</v>
      </c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7"/>
    </row>
    <row r="8" spans="1:62" ht="13.5" customHeight="1">
      <c r="B8" s="412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 t="s">
        <v>61</v>
      </c>
      <c r="O8" s="385"/>
      <c r="P8" s="385"/>
      <c r="Q8" s="385"/>
      <c r="R8" s="385"/>
      <c r="S8" s="385"/>
      <c r="T8" s="385"/>
      <c r="U8" s="385" t="s">
        <v>62</v>
      </c>
      <c r="V8" s="385"/>
      <c r="W8" s="385"/>
      <c r="X8" s="385"/>
      <c r="Y8" s="385"/>
      <c r="Z8" s="385"/>
      <c r="AA8" s="385"/>
      <c r="AB8" s="385" t="s">
        <v>64</v>
      </c>
      <c r="AC8" s="385"/>
      <c r="AD8" s="385"/>
      <c r="AE8" s="385"/>
      <c r="AF8" s="385"/>
      <c r="AG8" s="385"/>
      <c r="AH8" s="388"/>
      <c r="AI8" s="385" t="s">
        <v>63</v>
      </c>
      <c r="AJ8" s="385"/>
      <c r="AK8" s="385"/>
      <c r="AL8" s="385"/>
      <c r="AM8" s="385"/>
      <c r="AN8" s="385"/>
      <c r="AO8" s="385"/>
      <c r="AP8" s="385" t="s">
        <v>61</v>
      </c>
      <c r="AQ8" s="385"/>
      <c r="AR8" s="385"/>
      <c r="AS8" s="385"/>
      <c r="AT8" s="385"/>
      <c r="AU8" s="385"/>
      <c r="AV8" s="385"/>
      <c r="AW8" s="385" t="s">
        <v>62</v>
      </c>
      <c r="AX8" s="385"/>
      <c r="AY8" s="385"/>
      <c r="AZ8" s="385"/>
      <c r="BA8" s="385"/>
      <c r="BB8" s="385"/>
      <c r="BC8" s="385"/>
      <c r="BD8" s="385" t="s">
        <v>64</v>
      </c>
      <c r="BE8" s="385"/>
      <c r="BF8" s="385"/>
      <c r="BG8" s="385"/>
      <c r="BH8" s="385"/>
      <c r="BI8" s="385"/>
      <c r="BJ8" s="388"/>
    </row>
    <row r="9" spans="1:62">
      <c r="M9" s="21"/>
      <c r="AI9" s="6"/>
      <c r="AJ9" s="6"/>
      <c r="AK9" s="6"/>
      <c r="AL9" s="6"/>
      <c r="AM9" s="6"/>
      <c r="AN9" s="6"/>
      <c r="AO9" s="6"/>
    </row>
    <row r="10" spans="1:62">
      <c r="C10" s="389" t="s">
        <v>65</v>
      </c>
      <c r="D10" s="389"/>
      <c r="E10" s="389"/>
      <c r="F10" s="389"/>
      <c r="G10" s="380">
        <v>20</v>
      </c>
      <c r="H10" s="380"/>
      <c r="I10" s="389" t="s">
        <v>58</v>
      </c>
      <c r="J10" s="389"/>
      <c r="K10" s="389"/>
      <c r="L10" s="389"/>
      <c r="M10" s="22"/>
      <c r="N10" s="391">
        <v>28</v>
      </c>
      <c r="O10" s="391"/>
      <c r="P10" s="391"/>
      <c r="Q10" s="391"/>
      <c r="R10" s="391"/>
      <c r="S10" s="391"/>
      <c r="T10" s="391"/>
      <c r="U10" s="391">
        <v>21</v>
      </c>
      <c r="V10" s="391"/>
      <c r="W10" s="391"/>
      <c r="X10" s="391"/>
      <c r="Y10" s="391"/>
      <c r="Z10" s="391"/>
      <c r="AA10" s="391"/>
      <c r="AB10" s="391">
        <v>177</v>
      </c>
      <c r="AC10" s="391"/>
      <c r="AD10" s="391"/>
      <c r="AE10" s="391"/>
      <c r="AF10" s="391"/>
      <c r="AG10" s="391"/>
      <c r="AH10" s="391"/>
      <c r="AI10" s="409">
        <v>19</v>
      </c>
      <c r="AJ10" s="409"/>
      <c r="AK10" s="409"/>
      <c r="AL10" s="409"/>
      <c r="AM10" s="409"/>
      <c r="AN10" s="409"/>
      <c r="AO10" s="409"/>
      <c r="AP10" s="414">
        <v>5</v>
      </c>
      <c r="AQ10" s="414"/>
      <c r="AR10" s="414"/>
      <c r="AS10" s="414"/>
      <c r="AT10" s="414"/>
      <c r="AU10" s="414"/>
      <c r="AV10" s="414"/>
      <c r="AW10" s="414">
        <v>7</v>
      </c>
      <c r="AX10" s="414"/>
      <c r="AY10" s="414"/>
      <c r="AZ10" s="414"/>
      <c r="BA10" s="414"/>
      <c r="BB10" s="414"/>
      <c r="BC10" s="414"/>
      <c r="BD10" s="414">
        <v>48</v>
      </c>
      <c r="BE10" s="414"/>
      <c r="BF10" s="414"/>
      <c r="BG10" s="414"/>
      <c r="BH10" s="414"/>
      <c r="BI10" s="414"/>
      <c r="BJ10" s="414"/>
    </row>
    <row r="11" spans="1:62">
      <c r="G11" s="380">
        <v>21</v>
      </c>
      <c r="H11" s="380"/>
      <c r="M11" s="22"/>
      <c r="N11" s="391">
        <v>48</v>
      </c>
      <c r="O11" s="391"/>
      <c r="P11" s="391"/>
      <c r="Q11" s="391"/>
      <c r="R11" s="391"/>
      <c r="S11" s="391"/>
      <c r="T11" s="391"/>
      <c r="U11" s="391">
        <v>35</v>
      </c>
      <c r="V11" s="391"/>
      <c r="W11" s="391"/>
      <c r="X11" s="391"/>
      <c r="Y11" s="391"/>
      <c r="Z11" s="391"/>
      <c r="AA11" s="391"/>
      <c r="AB11" s="391">
        <v>171</v>
      </c>
      <c r="AC11" s="391"/>
      <c r="AD11" s="391"/>
      <c r="AE11" s="391"/>
      <c r="AF11" s="391"/>
      <c r="AG11" s="391"/>
      <c r="AH11" s="391"/>
      <c r="AI11" s="409">
        <v>22</v>
      </c>
      <c r="AJ11" s="409"/>
      <c r="AK11" s="409"/>
      <c r="AL11" s="409"/>
      <c r="AM11" s="409"/>
      <c r="AN11" s="409"/>
      <c r="AO11" s="409"/>
      <c r="AP11" s="414">
        <v>7</v>
      </c>
      <c r="AQ11" s="414"/>
      <c r="AR11" s="414"/>
      <c r="AS11" s="414"/>
      <c r="AT11" s="414"/>
      <c r="AU11" s="414"/>
      <c r="AV11" s="414"/>
      <c r="AW11" s="414">
        <v>9</v>
      </c>
      <c r="AX11" s="414"/>
      <c r="AY11" s="414"/>
      <c r="AZ11" s="414"/>
      <c r="BA11" s="414"/>
      <c r="BB11" s="414"/>
      <c r="BC11" s="414"/>
      <c r="BD11" s="414">
        <v>46</v>
      </c>
      <c r="BE11" s="414"/>
      <c r="BF11" s="414"/>
      <c r="BG11" s="414"/>
      <c r="BH11" s="414"/>
      <c r="BI11" s="414"/>
      <c r="BJ11" s="414"/>
    </row>
    <row r="12" spans="1:62">
      <c r="G12" s="380">
        <v>22</v>
      </c>
      <c r="H12" s="380"/>
      <c r="M12" s="22"/>
      <c r="N12" s="391">
        <v>28</v>
      </c>
      <c r="O12" s="391"/>
      <c r="P12" s="391"/>
      <c r="Q12" s="391"/>
      <c r="R12" s="391"/>
      <c r="S12" s="391"/>
      <c r="T12" s="391"/>
      <c r="U12" s="391">
        <v>22</v>
      </c>
      <c r="V12" s="391"/>
      <c r="W12" s="391"/>
      <c r="X12" s="391"/>
      <c r="Y12" s="391"/>
      <c r="Z12" s="391"/>
      <c r="AA12" s="391"/>
      <c r="AB12" s="391">
        <v>178</v>
      </c>
      <c r="AC12" s="391"/>
      <c r="AD12" s="391"/>
      <c r="AE12" s="391"/>
      <c r="AF12" s="391"/>
      <c r="AG12" s="391"/>
      <c r="AH12" s="391"/>
      <c r="AI12" s="409">
        <v>20</v>
      </c>
      <c r="AJ12" s="409"/>
      <c r="AK12" s="409"/>
      <c r="AL12" s="409"/>
      <c r="AM12" s="409"/>
      <c r="AN12" s="409"/>
      <c r="AO12" s="409"/>
      <c r="AP12" s="414">
        <v>7</v>
      </c>
      <c r="AQ12" s="414"/>
      <c r="AR12" s="414"/>
      <c r="AS12" s="414"/>
      <c r="AT12" s="414"/>
      <c r="AU12" s="414"/>
      <c r="AV12" s="414"/>
      <c r="AW12" s="414">
        <v>4</v>
      </c>
      <c r="AX12" s="414"/>
      <c r="AY12" s="414"/>
      <c r="AZ12" s="414"/>
      <c r="BA12" s="414"/>
      <c r="BB12" s="414"/>
      <c r="BC12" s="414"/>
      <c r="BD12" s="414">
        <v>49</v>
      </c>
      <c r="BE12" s="414"/>
      <c r="BF12" s="414"/>
      <c r="BG12" s="414"/>
      <c r="BH12" s="414"/>
      <c r="BI12" s="414"/>
      <c r="BJ12" s="414"/>
    </row>
    <row r="13" spans="1:62">
      <c r="G13" s="380">
        <v>23</v>
      </c>
      <c r="H13" s="380"/>
      <c r="M13" s="22"/>
      <c r="N13" s="391">
        <v>34</v>
      </c>
      <c r="O13" s="391"/>
      <c r="P13" s="391"/>
      <c r="Q13" s="391"/>
      <c r="R13" s="391"/>
      <c r="S13" s="391"/>
      <c r="T13" s="391"/>
      <c r="U13" s="391">
        <v>26</v>
      </c>
      <c r="V13" s="391"/>
      <c r="W13" s="391"/>
      <c r="X13" s="391"/>
      <c r="Y13" s="391"/>
      <c r="Z13" s="391"/>
      <c r="AA13" s="391"/>
      <c r="AB13" s="391">
        <v>186</v>
      </c>
      <c r="AC13" s="391"/>
      <c r="AD13" s="391"/>
      <c r="AE13" s="391"/>
      <c r="AF13" s="391"/>
      <c r="AG13" s="391"/>
      <c r="AH13" s="391"/>
      <c r="AI13" s="409">
        <v>20</v>
      </c>
      <c r="AJ13" s="409"/>
      <c r="AK13" s="409"/>
      <c r="AL13" s="409"/>
      <c r="AM13" s="409"/>
      <c r="AN13" s="409"/>
      <c r="AO13" s="409"/>
      <c r="AP13" s="414">
        <v>4</v>
      </c>
      <c r="AQ13" s="414"/>
      <c r="AR13" s="414"/>
      <c r="AS13" s="414"/>
      <c r="AT13" s="414"/>
      <c r="AU13" s="414"/>
      <c r="AV13" s="414"/>
      <c r="AW13" s="414">
        <v>5</v>
      </c>
      <c r="AX13" s="414"/>
      <c r="AY13" s="414"/>
      <c r="AZ13" s="414"/>
      <c r="BA13" s="414"/>
      <c r="BB13" s="414"/>
      <c r="BC13" s="414"/>
      <c r="BD13" s="414">
        <v>48</v>
      </c>
      <c r="BE13" s="414"/>
      <c r="BF13" s="414"/>
      <c r="BG13" s="414"/>
      <c r="BH13" s="414"/>
      <c r="BI13" s="414"/>
      <c r="BJ13" s="414"/>
    </row>
    <row r="14" spans="1:62">
      <c r="G14" s="392">
        <v>24</v>
      </c>
      <c r="H14" s="392"/>
      <c r="M14" s="22"/>
      <c r="N14" s="396">
        <v>39</v>
      </c>
      <c r="O14" s="396"/>
      <c r="P14" s="396"/>
      <c r="Q14" s="396"/>
      <c r="R14" s="396"/>
      <c r="S14" s="396"/>
      <c r="T14" s="396"/>
      <c r="U14" s="396">
        <v>37</v>
      </c>
      <c r="V14" s="396"/>
      <c r="W14" s="396"/>
      <c r="X14" s="396"/>
      <c r="Y14" s="396"/>
      <c r="Z14" s="396"/>
      <c r="AA14" s="396"/>
      <c r="AB14" s="396">
        <v>188</v>
      </c>
      <c r="AC14" s="396"/>
      <c r="AD14" s="396"/>
      <c r="AE14" s="396"/>
      <c r="AF14" s="396"/>
      <c r="AG14" s="396"/>
      <c r="AH14" s="396"/>
      <c r="AI14" s="541">
        <v>6</v>
      </c>
      <c r="AJ14" s="541"/>
      <c r="AK14" s="541"/>
      <c r="AL14" s="541"/>
      <c r="AM14" s="541"/>
      <c r="AN14" s="541"/>
      <c r="AO14" s="541"/>
      <c r="AP14" s="405">
        <v>8</v>
      </c>
      <c r="AQ14" s="405"/>
      <c r="AR14" s="405"/>
      <c r="AS14" s="405"/>
      <c r="AT14" s="405"/>
      <c r="AU14" s="405"/>
      <c r="AV14" s="405"/>
      <c r="AW14" s="405">
        <v>7</v>
      </c>
      <c r="AX14" s="405"/>
      <c r="AY14" s="405"/>
      <c r="AZ14" s="405"/>
      <c r="BA14" s="405"/>
      <c r="BB14" s="405"/>
      <c r="BC14" s="405"/>
      <c r="BD14" s="405">
        <v>49</v>
      </c>
      <c r="BE14" s="405"/>
      <c r="BF14" s="405"/>
      <c r="BG14" s="405"/>
      <c r="BH14" s="405"/>
      <c r="BI14" s="405"/>
      <c r="BJ14" s="405"/>
    </row>
    <row r="15" spans="1:6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>
      <c r="C16" s="400" t="s">
        <v>66</v>
      </c>
      <c r="D16" s="400"/>
      <c r="E16" s="54" t="s">
        <v>57</v>
      </c>
      <c r="F16" s="2" t="s">
        <v>439</v>
      </c>
    </row>
    <row r="17" spans="2:6">
      <c r="B17" s="404" t="s">
        <v>56</v>
      </c>
      <c r="C17" s="404"/>
      <c r="D17" s="404"/>
      <c r="E17" s="54" t="s">
        <v>57</v>
      </c>
      <c r="F17" s="2" t="s">
        <v>126</v>
      </c>
    </row>
  </sheetData>
  <mergeCells count="56">
    <mergeCell ref="B5:BJ5"/>
    <mergeCell ref="B7:M8"/>
    <mergeCell ref="N7:AO7"/>
    <mergeCell ref="AP7:BJ7"/>
    <mergeCell ref="N8:T8"/>
    <mergeCell ref="U8:AA8"/>
    <mergeCell ref="AB8:AH8"/>
    <mergeCell ref="AI8:AO8"/>
    <mergeCell ref="AP8:AV8"/>
    <mergeCell ref="AW8:BC8"/>
    <mergeCell ref="BD8:BJ8"/>
    <mergeCell ref="AP12:AV12"/>
    <mergeCell ref="C10:F10"/>
    <mergeCell ref="G10:H10"/>
    <mergeCell ref="I10:L10"/>
    <mergeCell ref="N10:T10"/>
    <mergeCell ref="U10:AA10"/>
    <mergeCell ref="G12:H12"/>
    <mergeCell ref="N12:T12"/>
    <mergeCell ref="U12:AA12"/>
    <mergeCell ref="AB12:AH12"/>
    <mergeCell ref="AI12:AO12"/>
    <mergeCell ref="BD10:BJ10"/>
    <mergeCell ref="G11:H11"/>
    <mergeCell ref="N11:T11"/>
    <mergeCell ref="U11:AA11"/>
    <mergeCell ref="AB11:AH11"/>
    <mergeCell ref="AI11:AO11"/>
    <mergeCell ref="AP11:AV11"/>
    <mergeCell ref="AW11:BC11"/>
    <mergeCell ref="BD11:BJ11"/>
    <mergeCell ref="AB10:AH10"/>
    <mergeCell ref="AI10:AO10"/>
    <mergeCell ref="AP10:AV10"/>
    <mergeCell ref="AW10:BC10"/>
    <mergeCell ref="AB13:AH13"/>
    <mergeCell ref="AI13:AO13"/>
    <mergeCell ref="AP13:AV13"/>
    <mergeCell ref="AW13:BC13"/>
    <mergeCell ref="BD13:BJ13"/>
    <mergeCell ref="A1:S2"/>
    <mergeCell ref="AW14:BC14"/>
    <mergeCell ref="BD14:BJ14"/>
    <mergeCell ref="C16:D16"/>
    <mergeCell ref="B17:D17"/>
    <mergeCell ref="G14:H14"/>
    <mergeCell ref="N14:T14"/>
    <mergeCell ref="U14:AA14"/>
    <mergeCell ref="AB14:AH14"/>
    <mergeCell ref="AI14:AO14"/>
    <mergeCell ref="AP14:AV14"/>
    <mergeCell ref="AW12:BC12"/>
    <mergeCell ref="BD12:BJ12"/>
    <mergeCell ref="G13:H13"/>
    <mergeCell ref="N13:T13"/>
    <mergeCell ref="U13:AA13"/>
  </mergeCells>
  <phoneticPr fontId="15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BK87"/>
  <sheetViews>
    <sheetView view="pageBreakPreview" zoomScaleNormal="100" zoomScaleSheetLayoutView="100" workbookViewId="0"/>
  </sheetViews>
  <sheetFormatPr defaultRowHeight="12" customHeight="1"/>
  <cols>
    <col min="1" max="1" width="1" style="61" customWidth="1"/>
    <col min="2" max="63" width="1.625" style="61" customWidth="1"/>
    <col min="64" max="16384" width="9" style="61"/>
  </cols>
  <sheetData>
    <row r="1" spans="2:63" ht="11.1" customHeight="1"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570">
        <f>'192'!A1+1</f>
        <v>193</v>
      </c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</row>
    <row r="2" spans="2:63" ht="11.1" customHeight="1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</row>
    <row r="3" spans="2:63" ht="11.1" customHeight="1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</row>
    <row r="4" spans="2:63" ht="11.1" customHeight="1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</row>
    <row r="5" spans="2:63" s="98" customFormat="1" ht="15.95" customHeight="1">
      <c r="B5" s="559" t="s">
        <v>396</v>
      </c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59"/>
      <c r="AG5" s="559"/>
      <c r="AH5" s="559"/>
      <c r="AI5" s="559"/>
      <c r="AJ5" s="559"/>
      <c r="AK5" s="559"/>
      <c r="AL5" s="559"/>
      <c r="AM5" s="559"/>
      <c r="AN5" s="559"/>
      <c r="AO5" s="559"/>
      <c r="AP5" s="559"/>
      <c r="AQ5" s="559"/>
      <c r="AR5" s="559"/>
      <c r="AS5" s="559"/>
      <c r="AT5" s="559"/>
      <c r="AU5" s="559"/>
      <c r="AV5" s="559"/>
      <c r="AW5" s="559"/>
      <c r="AX5" s="559"/>
      <c r="AY5" s="559"/>
      <c r="AZ5" s="559"/>
      <c r="BA5" s="559"/>
      <c r="BB5" s="559"/>
      <c r="BC5" s="559"/>
      <c r="BD5" s="559"/>
      <c r="BE5" s="559"/>
      <c r="BF5" s="559"/>
      <c r="BG5" s="559"/>
      <c r="BH5" s="559"/>
      <c r="BI5" s="559"/>
      <c r="BJ5" s="559"/>
      <c r="BK5" s="99"/>
    </row>
    <row r="6" spans="2:63" ht="12.95" customHeight="1">
      <c r="B6" s="560" t="s">
        <v>191</v>
      </c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560"/>
      <c r="AB6" s="560"/>
      <c r="AC6" s="560"/>
      <c r="AD6" s="560"/>
      <c r="AE6" s="560"/>
      <c r="AF6" s="560"/>
      <c r="AG6" s="560"/>
      <c r="AH6" s="560"/>
      <c r="AI6" s="560"/>
      <c r="AJ6" s="560"/>
      <c r="AK6" s="560"/>
      <c r="AL6" s="560"/>
      <c r="AM6" s="560"/>
      <c r="AN6" s="560"/>
      <c r="AO6" s="560"/>
      <c r="AP6" s="560"/>
      <c r="AQ6" s="560"/>
      <c r="AR6" s="560"/>
      <c r="AS6" s="560"/>
      <c r="AT6" s="560"/>
      <c r="AU6" s="560"/>
      <c r="AV6" s="560"/>
      <c r="AW6" s="560"/>
      <c r="AX6" s="560"/>
      <c r="AY6" s="560"/>
      <c r="AZ6" s="560"/>
      <c r="BA6" s="560"/>
      <c r="BB6" s="560"/>
      <c r="BC6" s="560"/>
      <c r="BD6" s="560"/>
      <c r="BE6" s="560"/>
      <c r="BF6" s="560"/>
      <c r="BG6" s="560"/>
      <c r="BH6" s="560"/>
      <c r="BI6" s="560"/>
      <c r="BJ6" s="560"/>
      <c r="BK6" s="66"/>
    </row>
    <row r="7" spans="2:63" ht="11.1" customHeight="1"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97" t="s">
        <v>190</v>
      </c>
      <c r="BK7" s="96"/>
    </row>
    <row r="8" spans="2:63" ht="12.95" customHeight="1">
      <c r="B8" s="565" t="s">
        <v>1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 t="s">
        <v>189</v>
      </c>
      <c r="O8" s="561"/>
      <c r="P8" s="561"/>
      <c r="Q8" s="561"/>
      <c r="R8" s="561"/>
      <c r="S8" s="561"/>
      <c r="T8" s="561"/>
      <c r="U8" s="561" t="s">
        <v>188</v>
      </c>
      <c r="V8" s="561"/>
      <c r="W8" s="561"/>
      <c r="X8" s="561"/>
      <c r="Y8" s="561"/>
      <c r="Z8" s="561"/>
      <c r="AA8" s="561"/>
      <c r="AB8" s="561" t="s">
        <v>187</v>
      </c>
      <c r="AC8" s="561"/>
      <c r="AD8" s="561"/>
      <c r="AE8" s="561"/>
      <c r="AF8" s="561"/>
      <c r="AG8" s="561"/>
      <c r="AH8" s="561"/>
      <c r="AI8" s="561"/>
      <c r="AJ8" s="561"/>
      <c r="AK8" s="561"/>
      <c r="AL8" s="561"/>
      <c r="AM8" s="561"/>
      <c r="AN8" s="561"/>
      <c r="AO8" s="561"/>
      <c r="AP8" s="561" t="s">
        <v>186</v>
      </c>
      <c r="AQ8" s="561"/>
      <c r="AR8" s="561"/>
      <c r="AS8" s="561"/>
      <c r="AT8" s="561"/>
      <c r="AU8" s="561"/>
      <c r="AV8" s="561"/>
      <c r="AW8" s="561" t="s">
        <v>183</v>
      </c>
      <c r="AX8" s="561"/>
      <c r="AY8" s="561"/>
      <c r="AZ8" s="561"/>
      <c r="BA8" s="561"/>
      <c r="BB8" s="561"/>
      <c r="BC8" s="561"/>
      <c r="BD8" s="572" t="s">
        <v>185</v>
      </c>
      <c r="BE8" s="572"/>
      <c r="BF8" s="572"/>
      <c r="BG8" s="572"/>
      <c r="BH8" s="572"/>
      <c r="BI8" s="572"/>
      <c r="BJ8" s="573"/>
      <c r="BK8" s="68"/>
    </row>
    <row r="9" spans="2:63" ht="12.95" customHeight="1">
      <c r="B9" s="566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2"/>
      <c r="AB9" s="562" t="s">
        <v>184</v>
      </c>
      <c r="AC9" s="562"/>
      <c r="AD9" s="562"/>
      <c r="AE9" s="562"/>
      <c r="AF9" s="562"/>
      <c r="AG9" s="562"/>
      <c r="AH9" s="562"/>
      <c r="AI9" s="562" t="s">
        <v>183</v>
      </c>
      <c r="AJ9" s="562"/>
      <c r="AK9" s="562"/>
      <c r="AL9" s="562"/>
      <c r="AM9" s="562"/>
      <c r="AN9" s="562"/>
      <c r="AO9" s="562"/>
      <c r="AP9" s="562"/>
      <c r="AQ9" s="562"/>
      <c r="AR9" s="562"/>
      <c r="AS9" s="562"/>
      <c r="AT9" s="562"/>
      <c r="AU9" s="562"/>
      <c r="AV9" s="562"/>
      <c r="AW9" s="562"/>
      <c r="AX9" s="562"/>
      <c r="AY9" s="562"/>
      <c r="AZ9" s="562"/>
      <c r="BA9" s="562"/>
      <c r="BB9" s="562"/>
      <c r="BC9" s="562"/>
      <c r="BD9" s="574"/>
      <c r="BE9" s="574"/>
      <c r="BF9" s="574"/>
      <c r="BG9" s="574"/>
      <c r="BH9" s="574"/>
      <c r="BI9" s="574"/>
      <c r="BJ9" s="575"/>
      <c r="BK9" s="68"/>
    </row>
    <row r="10" spans="2:63" ht="9.9499999999999993" customHeight="1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7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560" t="s">
        <v>171</v>
      </c>
      <c r="AO10" s="560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560" t="s">
        <v>171</v>
      </c>
      <c r="BC10" s="560"/>
      <c r="BD10" s="68"/>
      <c r="BE10" s="68"/>
      <c r="BF10" s="68"/>
      <c r="BG10" s="68"/>
      <c r="BH10" s="68"/>
      <c r="BI10" s="68"/>
      <c r="BJ10" s="68"/>
      <c r="BK10" s="68"/>
    </row>
    <row r="11" spans="2:63" ht="7.5" customHeight="1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76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</row>
    <row r="12" spans="2:63" ht="11.85" customHeight="1">
      <c r="C12" s="563" t="s">
        <v>7</v>
      </c>
      <c r="D12" s="563"/>
      <c r="E12" s="563"/>
      <c r="F12" s="563"/>
      <c r="G12" s="568">
        <v>20</v>
      </c>
      <c r="H12" s="568"/>
      <c r="I12" s="563" t="s">
        <v>1</v>
      </c>
      <c r="J12" s="563"/>
      <c r="K12" s="563"/>
      <c r="L12" s="563"/>
      <c r="M12" s="76"/>
      <c r="N12" s="564">
        <v>330891</v>
      </c>
      <c r="O12" s="564"/>
      <c r="P12" s="564"/>
      <c r="Q12" s="564"/>
      <c r="R12" s="564"/>
      <c r="S12" s="564"/>
      <c r="T12" s="564"/>
      <c r="U12" s="564">
        <v>690783</v>
      </c>
      <c r="V12" s="564"/>
      <c r="W12" s="564"/>
      <c r="X12" s="564"/>
      <c r="Y12" s="564"/>
      <c r="Z12" s="564"/>
      <c r="AA12" s="564"/>
      <c r="AB12" s="564">
        <v>123947</v>
      </c>
      <c r="AC12" s="564"/>
      <c r="AD12" s="564"/>
      <c r="AE12" s="564"/>
      <c r="AF12" s="564"/>
      <c r="AG12" s="564"/>
      <c r="AH12" s="564"/>
      <c r="AI12" s="567">
        <f>AB12/N12*100</f>
        <v>37.458558860772882</v>
      </c>
      <c r="AJ12" s="567"/>
      <c r="AK12" s="567"/>
      <c r="AL12" s="567"/>
      <c r="AM12" s="567"/>
      <c r="AN12" s="567"/>
      <c r="AO12" s="567"/>
      <c r="AP12" s="564">
        <v>202895</v>
      </c>
      <c r="AQ12" s="564"/>
      <c r="AR12" s="564"/>
      <c r="AS12" s="564"/>
      <c r="AT12" s="564"/>
      <c r="AU12" s="564"/>
      <c r="AV12" s="564"/>
      <c r="AW12" s="567">
        <f>AP12/U12*100</f>
        <v>29.371741921848106</v>
      </c>
      <c r="AX12" s="567"/>
      <c r="AY12" s="567"/>
      <c r="AZ12" s="567"/>
      <c r="BA12" s="567"/>
      <c r="BB12" s="567"/>
      <c r="BC12" s="567"/>
      <c r="BD12" s="564">
        <v>204918</v>
      </c>
      <c r="BE12" s="564"/>
      <c r="BF12" s="564"/>
      <c r="BG12" s="564"/>
      <c r="BH12" s="564"/>
      <c r="BI12" s="564"/>
      <c r="BJ12" s="564"/>
    </row>
    <row r="13" spans="2:63" s="72" customFormat="1" ht="11.85" customHeight="1">
      <c r="C13" s="61"/>
      <c r="D13" s="61"/>
      <c r="E13" s="61"/>
      <c r="F13" s="61"/>
      <c r="G13" s="568">
        <v>21</v>
      </c>
      <c r="H13" s="568"/>
      <c r="I13" s="61"/>
      <c r="J13" s="61"/>
      <c r="K13" s="61"/>
      <c r="L13" s="61"/>
      <c r="M13" s="76"/>
      <c r="N13" s="564">
        <v>333243</v>
      </c>
      <c r="O13" s="564"/>
      <c r="P13" s="564"/>
      <c r="Q13" s="564"/>
      <c r="R13" s="564"/>
      <c r="S13" s="564"/>
      <c r="T13" s="564"/>
      <c r="U13" s="564">
        <v>693276</v>
      </c>
      <c r="V13" s="564"/>
      <c r="W13" s="564"/>
      <c r="X13" s="564"/>
      <c r="Y13" s="564"/>
      <c r="Z13" s="564"/>
      <c r="AA13" s="564"/>
      <c r="AB13" s="564">
        <v>123617</v>
      </c>
      <c r="AC13" s="564"/>
      <c r="AD13" s="564"/>
      <c r="AE13" s="564"/>
      <c r="AF13" s="564"/>
      <c r="AG13" s="564"/>
      <c r="AH13" s="564"/>
      <c r="AI13" s="567">
        <f>AB13/N13*100</f>
        <v>37.095152786405116</v>
      </c>
      <c r="AJ13" s="567"/>
      <c r="AK13" s="567"/>
      <c r="AL13" s="567"/>
      <c r="AM13" s="567"/>
      <c r="AN13" s="567"/>
      <c r="AO13" s="567"/>
      <c r="AP13" s="564">
        <v>200917</v>
      </c>
      <c r="AQ13" s="564"/>
      <c r="AR13" s="564"/>
      <c r="AS13" s="564"/>
      <c r="AT13" s="564"/>
      <c r="AU13" s="564"/>
      <c r="AV13" s="564"/>
      <c r="AW13" s="567">
        <f>AP13/U13*100</f>
        <v>28.98080995159215</v>
      </c>
      <c r="AX13" s="567"/>
      <c r="AY13" s="567"/>
      <c r="AZ13" s="567"/>
      <c r="BA13" s="567"/>
      <c r="BB13" s="567"/>
      <c r="BC13" s="567"/>
      <c r="BD13" s="564">
        <v>203082</v>
      </c>
      <c r="BE13" s="564"/>
      <c r="BF13" s="564"/>
      <c r="BG13" s="564"/>
      <c r="BH13" s="564"/>
      <c r="BI13" s="564"/>
      <c r="BJ13" s="564"/>
    </row>
    <row r="14" spans="2:63" ht="11.85" customHeight="1">
      <c r="G14" s="568">
        <v>22</v>
      </c>
      <c r="H14" s="568"/>
      <c r="M14" s="76"/>
      <c r="N14" s="564">
        <v>334959</v>
      </c>
      <c r="O14" s="564"/>
      <c r="P14" s="564"/>
      <c r="Q14" s="564"/>
      <c r="R14" s="564"/>
      <c r="S14" s="564"/>
      <c r="T14" s="564"/>
      <c r="U14" s="564">
        <v>694666</v>
      </c>
      <c r="V14" s="564"/>
      <c r="W14" s="564"/>
      <c r="X14" s="564"/>
      <c r="Y14" s="564"/>
      <c r="Z14" s="564"/>
      <c r="AA14" s="564"/>
      <c r="AB14" s="564">
        <v>123021</v>
      </c>
      <c r="AC14" s="564"/>
      <c r="AD14" s="564"/>
      <c r="AE14" s="564"/>
      <c r="AF14" s="564"/>
      <c r="AG14" s="564"/>
      <c r="AH14" s="564"/>
      <c r="AI14" s="567">
        <f>AB14/N14*100</f>
        <v>36.727181535650629</v>
      </c>
      <c r="AJ14" s="567"/>
      <c r="AK14" s="567"/>
      <c r="AL14" s="567"/>
      <c r="AM14" s="567"/>
      <c r="AN14" s="567"/>
      <c r="AO14" s="567"/>
      <c r="AP14" s="564">
        <v>199108</v>
      </c>
      <c r="AQ14" s="564"/>
      <c r="AR14" s="564"/>
      <c r="AS14" s="564"/>
      <c r="AT14" s="564"/>
      <c r="AU14" s="564"/>
      <c r="AV14" s="564"/>
      <c r="AW14" s="567">
        <f>AP14/U14*100</f>
        <v>28.662407545496681</v>
      </c>
      <c r="AX14" s="567"/>
      <c r="AY14" s="567"/>
      <c r="AZ14" s="567"/>
      <c r="BA14" s="567"/>
      <c r="BB14" s="567"/>
      <c r="BC14" s="567"/>
      <c r="BD14" s="564">
        <v>201608</v>
      </c>
      <c r="BE14" s="564"/>
      <c r="BF14" s="564"/>
      <c r="BG14" s="564"/>
      <c r="BH14" s="564"/>
      <c r="BI14" s="564"/>
      <c r="BJ14" s="564"/>
    </row>
    <row r="15" spans="2:63" ht="11.85" customHeight="1">
      <c r="G15" s="568">
        <v>23</v>
      </c>
      <c r="H15" s="568"/>
      <c r="M15" s="76"/>
      <c r="N15" s="564">
        <v>336848</v>
      </c>
      <c r="O15" s="564"/>
      <c r="P15" s="564"/>
      <c r="Q15" s="564"/>
      <c r="R15" s="564"/>
      <c r="S15" s="564"/>
      <c r="T15" s="564"/>
      <c r="U15" s="564">
        <v>695432</v>
      </c>
      <c r="V15" s="564"/>
      <c r="W15" s="564"/>
      <c r="X15" s="564"/>
      <c r="Y15" s="564"/>
      <c r="Z15" s="564"/>
      <c r="AA15" s="564"/>
      <c r="AB15" s="564">
        <v>121170</v>
      </c>
      <c r="AC15" s="564"/>
      <c r="AD15" s="564"/>
      <c r="AE15" s="564"/>
      <c r="AF15" s="564"/>
      <c r="AG15" s="564"/>
      <c r="AH15" s="564"/>
      <c r="AI15" s="567">
        <f>AB15/N15*100</f>
        <v>35.971714245000712</v>
      </c>
      <c r="AJ15" s="567"/>
      <c r="AK15" s="567"/>
      <c r="AL15" s="567"/>
      <c r="AM15" s="567"/>
      <c r="AN15" s="567"/>
      <c r="AO15" s="567"/>
      <c r="AP15" s="564">
        <v>195080</v>
      </c>
      <c r="AQ15" s="564"/>
      <c r="AR15" s="564"/>
      <c r="AS15" s="564"/>
      <c r="AT15" s="564"/>
      <c r="AU15" s="564"/>
      <c r="AV15" s="564"/>
      <c r="AW15" s="567">
        <f>AP15/U15*100</f>
        <v>28.051628340369728</v>
      </c>
      <c r="AX15" s="567"/>
      <c r="AY15" s="567"/>
      <c r="AZ15" s="567"/>
      <c r="BA15" s="567"/>
      <c r="BB15" s="567"/>
      <c r="BC15" s="567"/>
      <c r="BD15" s="564">
        <v>198552</v>
      </c>
      <c r="BE15" s="564"/>
      <c r="BF15" s="564"/>
      <c r="BG15" s="564"/>
      <c r="BH15" s="564"/>
      <c r="BI15" s="564"/>
      <c r="BJ15" s="564"/>
    </row>
    <row r="16" spans="2:63" s="72" customFormat="1" ht="11.85" customHeight="1">
      <c r="G16" s="578">
        <v>24</v>
      </c>
      <c r="H16" s="578"/>
      <c r="M16" s="74"/>
      <c r="N16" s="558">
        <v>345379</v>
      </c>
      <c r="O16" s="558"/>
      <c r="P16" s="558"/>
      <c r="Q16" s="558"/>
      <c r="R16" s="558"/>
      <c r="S16" s="558"/>
      <c r="T16" s="558"/>
      <c r="U16" s="558">
        <v>709609</v>
      </c>
      <c r="V16" s="558"/>
      <c r="W16" s="558"/>
      <c r="X16" s="558"/>
      <c r="Y16" s="558"/>
      <c r="Z16" s="558"/>
      <c r="AA16" s="558"/>
      <c r="AB16" s="558">
        <v>119620</v>
      </c>
      <c r="AC16" s="558"/>
      <c r="AD16" s="558"/>
      <c r="AE16" s="558"/>
      <c r="AF16" s="558"/>
      <c r="AG16" s="558"/>
      <c r="AH16" s="558"/>
      <c r="AI16" s="569">
        <f>AB16/N16*100</f>
        <v>34.634416105206171</v>
      </c>
      <c r="AJ16" s="569"/>
      <c r="AK16" s="569"/>
      <c r="AL16" s="569"/>
      <c r="AM16" s="569"/>
      <c r="AN16" s="569"/>
      <c r="AO16" s="569"/>
      <c r="AP16" s="558">
        <v>190839</v>
      </c>
      <c r="AQ16" s="558"/>
      <c r="AR16" s="558"/>
      <c r="AS16" s="558"/>
      <c r="AT16" s="558"/>
      <c r="AU16" s="558"/>
      <c r="AV16" s="558"/>
      <c r="AW16" s="569">
        <f>AP16/U16*100</f>
        <v>26.893542782010936</v>
      </c>
      <c r="AX16" s="569"/>
      <c r="AY16" s="569"/>
      <c r="AZ16" s="569"/>
      <c r="BA16" s="569"/>
      <c r="BB16" s="569"/>
      <c r="BC16" s="569"/>
      <c r="BD16" s="558">
        <v>194102</v>
      </c>
      <c r="BE16" s="558"/>
      <c r="BF16" s="558"/>
      <c r="BG16" s="558"/>
      <c r="BH16" s="558"/>
      <c r="BI16" s="558"/>
      <c r="BJ16" s="558"/>
    </row>
    <row r="17" spans="2:63" ht="11.85" customHeight="1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70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4"/>
    </row>
    <row r="18" spans="2:63" ht="11.85" customHeight="1">
      <c r="B18" s="64"/>
      <c r="C18" s="576" t="s">
        <v>8</v>
      </c>
      <c r="D18" s="576"/>
      <c r="E18" s="68" t="s">
        <v>170</v>
      </c>
      <c r="F18" s="64" t="s">
        <v>182</v>
      </c>
      <c r="I18" s="64"/>
      <c r="J18" s="64"/>
      <c r="M18" s="95"/>
      <c r="N18" s="95"/>
    </row>
    <row r="19" spans="2:63" ht="11.85" customHeight="1">
      <c r="B19" s="577" t="s">
        <v>9</v>
      </c>
      <c r="C19" s="577"/>
      <c r="D19" s="577"/>
      <c r="E19" s="66" t="s">
        <v>170</v>
      </c>
      <c r="F19" s="61" t="s">
        <v>158</v>
      </c>
      <c r="M19" s="64"/>
      <c r="N19" s="64"/>
    </row>
    <row r="20" spans="2:63" ht="9" customHeight="1">
      <c r="B20" s="67"/>
      <c r="C20" s="67"/>
      <c r="D20" s="67"/>
      <c r="E20" s="66"/>
      <c r="M20" s="64"/>
      <c r="N20" s="64"/>
    </row>
    <row r="21" spans="2:63" ht="12.95" customHeight="1">
      <c r="B21" s="568" t="s">
        <v>181</v>
      </c>
      <c r="C21" s="568"/>
      <c r="D21" s="568"/>
      <c r="E21" s="568"/>
      <c r="F21" s="568"/>
      <c r="G21" s="568"/>
      <c r="H21" s="568"/>
      <c r="I21" s="568"/>
      <c r="J21" s="568"/>
      <c r="K21" s="568"/>
      <c r="L21" s="568"/>
      <c r="M21" s="568"/>
      <c r="N21" s="568"/>
      <c r="O21" s="568"/>
      <c r="P21" s="568"/>
      <c r="Q21" s="568"/>
      <c r="R21" s="568"/>
      <c r="S21" s="568"/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568"/>
      <c r="AE21" s="568"/>
      <c r="AF21" s="568"/>
      <c r="AG21" s="568"/>
      <c r="AH21" s="568"/>
      <c r="AI21" s="568"/>
      <c r="AJ21" s="568"/>
      <c r="AK21" s="568"/>
      <c r="AL21" s="568"/>
      <c r="AM21" s="568"/>
      <c r="AN21" s="568"/>
      <c r="AO21" s="568"/>
      <c r="AP21" s="568"/>
      <c r="AQ21" s="568"/>
      <c r="AR21" s="568"/>
      <c r="AS21" s="568"/>
      <c r="AT21" s="568"/>
      <c r="AU21" s="568"/>
      <c r="AV21" s="568"/>
      <c r="AW21" s="568"/>
      <c r="AX21" s="568"/>
      <c r="AY21" s="568"/>
      <c r="AZ21" s="568"/>
      <c r="BA21" s="568"/>
      <c r="BB21" s="568"/>
      <c r="BC21" s="568"/>
      <c r="BD21" s="568"/>
      <c r="BE21" s="568"/>
      <c r="BF21" s="568"/>
      <c r="BG21" s="568"/>
      <c r="BH21" s="568"/>
      <c r="BI21" s="568"/>
      <c r="BJ21" s="568"/>
      <c r="BK21" s="66"/>
    </row>
    <row r="22" spans="2:63" ht="12.95" customHeight="1">
      <c r="B22" s="560" t="s">
        <v>168</v>
      </c>
      <c r="C22" s="560"/>
      <c r="D22" s="560"/>
      <c r="E22" s="560"/>
      <c r="F22" s="560"/>
      <c r="G22" s="560"/>
      <c r="H22" s="560"/>
      <c r="I22" s="560"/>
      <c r="J22" s="560"/>
      <c r="K22" s="560"/>
      <c r="L22" s="560"/>
      <c r="M22" s="560"/>
      <c r="N22" s="560"/>
      <c r="O22" s="560"/>
      <c r="P22" s="560"/>
      <c r="Q22" s="560"/>
      <c r="R22" s="560"/>
      <c r="S22" s="560"/>
      <c r="T22" s="560"/>
      <c r="U22" s="560"/>
      <c r="V22" s="560"/>
      <c r="W22" s="560"/>
      <c r="X22" s="560"/>
      <c r="Y22" s="560"/>
      <c r="Z22" s="560"/>
      <c r="AA22" s="560"/>
      <c r="AB22" s="560"/>
      <c r="AC22" s="560"/>
      <c r="AD22" s="560"/>
      <c r="AE22" s="560"/>
      <c r="AF22" s="560"/>
      <c r="AG22" s="560"/>
      <c r="AH22" s="560"/>
      <c r="AI22" s="560"/>
      <c r="AJ22" s="560"/>
      <c r="AK22" s="560"/>
      <c r="AL22" s="560"/>
      <c r="AM22" s="560"/>
      <c r="AN22" s="560"/>
      <c r="AO22" s="560"/>
      <c r="AP22" s="560"/>
      <c r="AQ22" s="560"/>
      <c r="AR22" s="560"/>
      <c r="AS22" s="560"/>
      <c r="AT22" s="560"/>
      <c r="AU22" s="560"/>
      <c r="AV22" s="560"/>
      <c r="AW22" s="560"/>
      <c r="AX22" s="560"/>
      <c r="AY22" s="560"/>
      <c r="AZ22" s="560"/>
      <c r="BA22" s="560"/>
      <c r="BB22" s="560"/>
      <c r="BC22" s="560"/>
      <c r="BD22" s="560"/>
      <c r="BE22" s="560"/>
      <c r="BF22" s="560"/>
      <c r="BG22" s="560"/>
      <c r="BH22" s="560"/>
      <c r="BI22" s="560"/>
      <c r="BJ22" s="560"/>
      <c r="BK22" s="66"/>
    </row>
    <row r="23" spans="2:63" ht="8.1" customHeight="1">
      <c r="B23" s="69"/>
      <c r="C23" s="69"/>
      <c r="D23" s="69"/>
      <c r="E23" s="71"/>
      <c r="F23" s="71"/>
      <c r="G23" s="71"/>
      <c r="H23" s="71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4"/>
    </row>
    <row r="24" spans="2:63" ht="12.95" customHeight="1">
      <c r="B24" s="565" t="s">
        <v>1</v>
      </c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 t="s">
        <v>177</v>
      </c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  <c r="AG24" s="561"/>
      <c r="AH24" s="561"/>
      <c r="AI24" s="561"/>
      <c r="AJ24" s="561"/>
      <c r="AK24" s="561" t="s">
        <v>176</v>
      </c>
      <c r="AL24" s="561"/>
      <c r="AM24" s="561"/>
      <c r="AN24" s="561"/>
      <c r="AO24" s="561"/>
      <c r="AP24" s="561"/>
      <c r="AQ24" s="561"/>
      <c r="AR24" s="561"/>
      <c r="AS24" s="561"/>
      <c r="AT24" s="561"/>
      <c r="AU24" s="561"/>
      <c r="AV24" s="561"/>
      <c r="AW24" s="561"/>
      <c r="AX24" s="561"/>
      <c r="AY24" s="561"/>
      <c r="AZ24" s="561"/>
      <c r="BA24" s="561"/>
      <c r="BB24" s="561"/>
      <c r="BC24" s="561"/>
      <c r="BD24" s="561"/>
      <c r="BE24" s="561"/>
      <c r="BF24" s="561"/>
      <c r="BG24" s="561"/>
      <c r="BH24" s="561"/>
      <c r="BI24" s="561"/>
      <c r="BJ24" s="579"/>
      <c r="BK24" s="64"/>
    </row>
    <row r="25" spans="2:63" ht="12.75" customHeight="1">
      <c r="B25" s="566"/>
      <c r="C25" s="562"/>
      <c r="D25" s="562"/>
      <c r="E25" s="562"/>
      <c r="F25" s="562"/>
      <c r="G25" s="562"/>
      <c r="H25" s="562"/>
      <c r="I25" s="562"/>
      <c r="J25" s="562"/>
      <c r="K25" s="562"/>
      <c r="L25" s="562"/>
      <c r="M25" s="562"/>
      <c r="N25" s="562"/>
      <c r="O25" s="562" t="s">
        <v>175</v>
      </c>
      <c r="P25" s="562"/>
      <c r="Q25" s="562"/>
      <c r="R25" s="562"/>
      <c r="S25" s="562"/>
      <c r="T25" s="562"/>
      <c r="U25" s="562"/>
      <c r="V25" s="562" t="s">
        <v>174</v>
      </c>
      <c r="W25" s="562"/>
      <c r="X25" s="562"/>
      <c r="Y25" s="562"/>
      <c r="Z25" s="562"/>
      <c r="AA25" s="562"/>
      <c r="AB25" s="562"/>
      <c r="AC25" s="562" t="s">
        <v>173</v>
      </c>
      <c r="AD25" s="562"/>
      <c r="AE25" s="562"/>
      <c r="AF25" s="562"/>
      <c r="AG25" s="562"/>
      <c r="AH25" s="562"/>
      <c r="AI25" s="562"/>
      <c r="AJ25" s="562"/>
      <c r="AK25" s="562" t="s">
        <v>165</v>
      </c>
      <c r="AL25" s="562"/>
      <c r="AM25" s="562"/>
      <c r="AN25" s="562"/>
      <c r="AO25" s="562"/>
      <c r="AP25" s="562"/>
      <c r="AQ25" s="562"/>
      <c r="AR25" s="562"/>
      <c r="AS25" s="562"/>
      <c r="AT25" s="562" t="s">
        <v>164</v>
      </c>
      <c r="AU25" s="562"/>
      <c r="AV25" s="562"/>
      <c r="AW25" s="562"/>
      <c r="AX25" s="562"/>
      <c r="AY25" s="562"/>
      <c r="AZ25" s="562"/>
      <c r="BA25" s="562"/>
      <c r="BB25" s="562"/>
      <c r="BC25" s="562" t="s">
        <v>173</v>
      </c>
      <c r="BD25" s="562"/>
      <c r="BE25" s="562"/>
      <c r="BF25" s="562"/>
      <c r="BG25" s="562"/>
      <c r="BH25" s="562"/>
      <c r="BI25" s="562"/>
      <c r="BJ25" s="580"/>
      <c r="BK25" s="64"/>
    </row>
    <row r="26" spans="2:63" ht="11.85" customHeight="1">
      <c r="B26" s="64"/>
      <c r="C26" s="68"/>
      <c r="D26" s="68"/>
      <c r="E26" s="68"/>
      <c r="F26" s="68"/>
      <c r="G26" s="64"/>
      <c r="H26" s="64"/>
      <c r="I26" s="64"/>
      <c r="J26" s="64"/>
      <c r="K26" s="64"/>
      <c r="L26" s="64"/>
      <c r="M26" s="64"/>
      <c r="N26" s="7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560" t="s">
        <v>172</v>
      </c>
      <c r="AJ26" s="560"/>
      <c r="AK26" s="68"/>
      <c r="AL26" s="68"/>
      <c r="AM26" s="68"/>
      <c r="AN26" s="68"/>
      <c r="AO26" s="68"/>
      <c r="AP26" s="68"/>
      <c r="AQ26" s="68"/>
      <c r="AR26" s="560" t="s">
        <v>163</v>
      </c>
      <c r="AS26" s="560"/>
      <c r="AT26" s="68"/>
      <c r="AU26" s="68"/>
      <c r="AV26" s="68"/>
      <c r="AW26" s="68"/>
      <c r="AX26" s="68"/>
      <c r="AY26" s="68"/>
      <c r="AZ26" s="68"/>
      <c r="BA26" s="560" t="s">
        <v>163</v>
      </c>
      <c r="BB26" s="560"/>
      <c r="BC26" s="68"/>
      <c r="BD26" s="68"/>
      <c r="BE26" s="68"/>
      <c r="BF26" s="68"/>
      <c r="BG26" s="68"/>
      <c r="BH26" s="68"/>
      <c r="BI26" s="560" t="s">
        <v>180</v>
      </c>
      <c r="BJ26" s="560"/>
      <c r="BK26" s="68"/>
    </row>
    <row r="27" spans="2:63" ht="7.5" customHeight="1">
      <c r="B27" s="64"/>
      <c r="C27" s="68"/>
      <c r="D27" s="68"/>
      <c r="E27" s="68"/>
      <c r="F27" s="68"/>
      <c r="G27" s="64"/>
      <c r="H27" s="64"/>
      <c r="I27" s="64"/>
      <c r="J27" s="64"/>
      <c r="K27" s="64"/>
      <c r="L27" s="64"/>
      <c r="M27" s="64"/>
      <c r="N27" s="76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</row>
    <row r="28" spans="2:63" ht="11.85" customHeight="1">
      <c r="C28" s="581" t="s">
        <v>162</v>
      </c>
      <c r="D28" s="581"/>
      <c r="E28" s="581"/>
      <c r="F28" s="581"/>
      <c r="G28" s="560">
        <v>20</v>
      </c>
      <c r="H28" s="560"/>
      <c r="I28" s="560"/>
      <c r="J28" s="581" t="s">
        <v>161</v>
      </c>
      <c r="K28" s="581"/>
      <c r="L28" s="581"/>
      <c r="M28" s="581"/>
      <c r="N28" s="76"/>
      <c r="O28" s="564">
        <v>1248413</v>
      </c>
      <c r="P28" s="564"/>
      <c r="Q28" s="564"/>
      <c r="R28" s="564"/>
      <c r="S28" s="564"/>
      <c r="T28" s="564"/>
      <c r="U28" s="564"/>
      <c r="V28" s="564">
        <v>1034453</v>
      </c>
      <c r="W28" s="564"/>
      <c r="X28" s="564"/>
      <c r="Y28" s="564"/>
      <c r="Z28" s="564"/>
      <c r="AA28" s="564"/>
      <c r="AB28" s="564"/>
      <c r="AC28" s="567">
        <f>V28/O28*100</f>
        <v>82.861440885348031</v>
      </c>
      <c r="AD28" s="567"/>
      <c r="AE28" s="567"/>
      <c r="AF28" s="567"/>
      <c r="AG28" s="567"/>
      <c r="AH28" s="567"/>
      <c r="AI28" s="567"/>
      <c r="AJ28" s="567"/>
      <c r="AK28" s="564">
        <v>13348130874</v>
      </c>
      <c r="AL28" s="564"/>
      <c r="AM28" s="564"/>
      <c r="AN28" s="564"/>
      <c r="AO28" s="564"/>
      <c r="AP28" s="564"/>
      <c r="AQ28" s="564"/>
      <c r="AR28" s="564"/>
      <c r="AS28" s="564"/>
      <c r="AT28" s="564">
        <v>11227181380</v>
      </c>
      <c r="AU28" s="564"/>
      <c r="AV28" s="564"/>
      <c r="AW28" s="564"/>
      <c r="AX28" s="564"/>
      <c r="AY28" s="564"/>
      <c r="AZ28" s="564"/>
      <c r="BA28" s="564"/>
      <c r="BB28" s="564"/>
      <c r="BC28" s="567">
        <f>AT28/AK28*100</f>
        <v>84.110513194538214</v>
      </c>
      <c r="BD28" s="567"/>
      <c r="BE28" s="567"/>
      <c r="BF28" s="567"/>
      <c r="BG28" s="567"/>
      <c r="BH28" s="567"/>
      <c r="BI28" s="567"/>
      <c r="BJ28" s="567"/>
      <c r="BK28" s="64"/>
    </row>
    <row r="29" spans="2:63" s="72" customFormat="1" ht="11.85" customHeight="1">
      <c r="B29" s="64"/>
      <c r="C29" s="64"/>
      <c r="D29" s="64"/>
      <c r="E29" s="68"/>
      <c r="F29" s="68"/>
      <c r="G29" s="560">
        <v>21</v>
      </c>
      <c r="H29" s="560"/>
      <c r="I29" s="560"/>
      <c r="J29" s="64"/>
      <c r="K29" s="64"/>
      <c r="L29" s="64"/>
      <c r="M29" s="64"/>
      <c r="N29" s="76"/>
      <c r="O29" s="564">
        <v>1257567</v>
      </c>
      <c r="P29" s="564"/>
      <c r="Q29" s="564"/>
      <c r="R29" s="564"/>
      <c r="S29" s="564"/>
      <c r="T29" s="564"/>
      <c r="U29" s="564"/>
      <c r="V29" s="564">
        <v>1039228</v>
      </c>
      <c r="W29" s="564"/>
      <c r="X29" s="564"/>
      <c r="Y29" s="564"/>
      <c r="Z29" s="564"/>
      <c r="AA29" s="564"/>
      <c r="AB29" s="564"/>
      <c r="AC29" s="567">
        <f>V29/O29*100</f>
        <v>82.637982707879573</v>
      </c>
      <c r="AD29" s="567"/>
      <c r="AE29" s="567"/>
      <c r="AF29" s="567"/>
      <c r="AG29" s="567"/>
      <c r="AH29" s="567"/>
      <c r="AI29" s="567"/>
      <c r="AJ29" s="567"/>
      <c r="AK29" s="564">
        <v>12625502282</v>
      </c>
      <c r="AL29" s="564"/>
      <c r="AM29" s="564"/>
      <c r="AN29" s="564"/>
      <c r="AO29" s="564"/>
      <c r="AP29" s="564"/>
      <c r="AQ29" s="564"/>
      <c r="AR29" s="564"/>
      <c r="AS29" s="564"/>
      <c r="AT29" s="564">
        <v>10516753341</v>
      </c>
      <c r="AU29" s="564"/>
      <c r="AV29" s="564"/>
      <c r="AW29" s="564"/>
      <c r="AX29" s="564"/>
      <c r="AY29" s="564"/>
      <c r="AZ29" s="564"/>
      <c r="BA29" s="564"/>
      <c r="BB29" s="564"/>
      <c r="BC29" s="567">
        <f>AT29/AK29*100</f>
        <v>83.297702587195971</v>
      </c>
      <c r="BD29" s="567"/>
      <c r="BE29" s="567"/>
      <c r="BF29" s="567"/>
      <c r="BG29" s="567"/>
      <c r="BH29" s="567"/>
      <c r="BI29" s="567"/>
      <c r="BJ29" s="567"/>
      <c r="BK29" s="73"/>
    </row>
    <row r="30" spans="2:63" ht="11.85" customHeight="1">
      <c r="B30" s="64"/>
      <c r="C30" s="64"/>
      <c r="D30" s="64"/>
      <c r="E30" s="68"/>
      <c r="F30" s="68"/>
      <c r="G30" s="560">
        <v>22</v>
      </c>
      <c r="H30" s="560"/>
      <c r="I30" s="560"/>
      <c r="J30" s="64"/>
      <c r="K30" s="64"/>
      <c r="L30" s="64"/>
      <c r="M30" s="64"/>
      <c r="N30" s="76"/>
      <c r="O30" s="564">
        <v>1228437</v>
      </c>
      <c r="P30" s="564"/>
      <c r="Q30" s="564"/>
      <c r="R30" s="564"/>
      <c r="S30" s="564"/>
      <c r="T30" s="564"/>
      <c r="U30" s="564"/>
      <c r="V30" s="564">
        <v>1019490</v>
      </c>
      <c r="W30" s="564"/>
      <c r="X30" s="564"/>
      <c r="Y30" s="564"/>
      <c r="Z30" s="564"/>
      <c r="AA30" s="564"/>
      <c r="AB30" s="564"/>
      <c r="AC30" s="567">
        <f>V30/O30*100</f>
        <v>82.99082492630879</v>
      </c>
      <c r="AD30" s="567"/>
      <c r="AE30" s="567"/>
      <c r="AF30" s="567"/>
      <c r="AG30" s="567"/>
      <c r="AH30" s="567"/>
      <c r="AI30" s="567"/>
      <c r="AJ30" s="567"/>
      <c r="AK30" s="564">
        <v>13280801247</v>
      </c>
      <c r="AL30" s="564"/>
      <c r="AM30" s="564"/>
      <c r="AN30" s="564"/>
      <c r="AO30" s="564"/>
      <c r="AP30" s="564"/>
      <c r="AQ30" s="564"/>
      <c r="AR30" s="564"/>
      <c r="AS30" s="564"/>
      <c r="AT30" s="564">
        <v>11224338624</v>
      </c>
      <c r="AU30" s="564"/>
      <c r="AV30" s="564"/>
      <c r="AW30" s="564"/>
      <c r="AX30" s="564"/>
      <c r="AY30" s="564"/>
      <c r="AZ30" s="564"/>
      <c r="BA30" s="564"/>
      <c r="BB30" s="564"/>
      <c r="BC30" s="567">
        <f>AT30/AK30*100</f>
        <v>84.51552293605377</v>
      </c>
      <c r="BD30" s="567"/>
      <c r="BE30" s="567"/>
      <c r="BF30" s="567"/>
      <c r="BG30" s="567"/>
      <c r="BH30" s="567"/>
      <c r="BI30" s="567"/>
      <c r="BJ30" s="567"/>
      <c r="BK30" s="64"/>
    </row>
    <row r="31" spans="2:63" ht="11.85" customHeight="1">
      <c r="B31" s="64"/>
      <c r="C31" s="64"/>
      <c r="D31" s="64"/>
      <c r="E31" s="68"/>
      <c r="F31" s="68"/>
      <c r="G31" s="560">
        <v>23</v>
      </c>
      <c r="H31" s="560"/>
      <c r="I31" s="560"/>
      <c r="J31" s="64"/>
      <c r="K31" s="64"/>
      <c r="L31" s="64"/>
      <c r="M31" s="64"/>
      <c r="N31" s="76"/>
      <c r="O31" s="564">
        <v>1202686</v>
      </c>
      <c r="P31" s="564"/>
      <c r="Q31" s="564"/>
      <c r="R31" s="564"/>
      <c r="S31" s="564"/>
      <c r="T31" s="564"/>
      <c r="U31" s="564"/>
      <c r="V31" s="564">
        <v>1010311</v>
      </c>
      <c r="W31" s="564"/>
      <c r="X31" s="564"/>
      <c r="Y31" s="564"/>
      <c r="Z31" s="564"/>
      <c r="AA31" s="564"/>
      <c r="AB31" s="564"/>
      <c r="AC31" s="567">
        <f>V31/O31*100</f>
        <v>84.004553141884088</v>
      </c>
      <c r="AD31" s="567"/>
      <c r="AE31" s="567"/>
      <c r="AF31" s="567"/>
      <c r="AG31" s="567"/>
      <c r="AH31" s="567"/>
      <c r="AI31" s="567"/>
      <c r="AJ31" s="567"/>
      <c r="AK31" s="564">
        <v>13496610900</v>
      </c>
      <c r="AL31" s="564"/>
      <c r="AM31" s="564"/>
      <c r="AN31" s="564"/>
      <c r="AO31" s="564"/>
      <c r="AP31" s="564"/>
      <c r="AQ31" s="564"/>
      <c r="AR31" s="564"/>
      <c r="AS31" s="564"/>
      <c r="AT31" s="564">
        <v>11621942069</v>
      </c>
      <c r="AU31" s="564"/>
      <c r="AV31" s="564"/>
      <c r="AW31" s="564"/>
      <c r="AX31" s="564"/>
      <c r="AY31" s="564"/>
      <c r="AZ31" s="564"/>
      <c r="BA31" s="564"/>
      <c r="BB31" s="564"/>
      <c r="BC31" s="567">
        <f>AT31/AK31*100</f>
        <v>86.110077226868853</v>
      </c>
      <c r="BD31" s="567"/>
      <c r="BE31" s="567"/>
      <c r="BF31" s="567"/>
      <c r="BG31" s="567"/>
      <c r="BH31" s="567"/>
      <c r="BI31" s="567"/>
      <c r="BJ31" s="567"/>
      <c r="BK31" s="64"/>
    </row>
    <row r="32" spans="2:63" s="72" customFormat="1" ht="11.85" customHeight="1">
      <c r="B32" s="73"/>
      <c r="C32" s="73"/>
      <c r="D32" s="73"/>
      <c r="E32" s="75"/>
      <c r="F32" s="75"/>
      <c r="G32" s="582">
        <v>24</v>
      </c>
      <c r="H32" s="582"/>
      <c r="I32" s="582"/>
      <c r="J32" s="73"/>
      <c r="K32" s="73"/>
      <c r="L32" s="73"/>
      <c r="M32" s="73"/>
      <c r="N32" s="74"/>
      <c r="O32" s="558">
        <v>1192088</v>
      </c>
      <c r="P32" s="558"/>
      <c r="Q32" s="558"/>
      <c r="R32" s="558"/>
      <c r="S32" s="558"/>
      <c r="T32" s="558"/>
      <c r="U32" s="558"/>
      <c r="V32" s="558">
        <v>1010877</v>
      </c>
      <c r="W32" s="558"/>
      <c r="X32" s="558"/>
      <c r="Y32" s="558"/>
      <c r="Z32" s="558"/>
      <c r="AA32" s="558"/>
      <c r="AB32" s="558"/>
      <c r="AC32" s="569">
        <f>V32/O32*100</f>
        <v>84.798857131352719</v>
      </c>
      <c r="AD32" s="569"/>
      <c r="AE32" s="569"/>
      <c r="AF32" s="569"/>
      <c r="AG32" s="569"/>
      <c r="AH32" s="569"/>
      <c r="AI32" s="569"/>
      <c r="AJ32" s="569"/>
      <c r="AK32" s="558">
        <v>13127416548</v>
      </c>
      <c r="AL32" s="558"/>
      <c r="AM32" s="558"/>
      <c r="AN32" s="558"/>
      <c r="AO32" s="558"/>
      <c r="AP32" s="558"/>
      <c r="AQ32" s="558"/>
      <c r="AR32" s="558"/>
      <c r="AS32" s="558"/>
      <c r="AT32" s="558">
        <v>11406951317</v>
      </c>
      <c r="AU32" s="558"/>
      <c r="AV32" s="558"/>
      <c r="AW32" s="558"/>
      <c r="AX32" s="558"/>
      <c r="AY32" s="558"/>
      <c r="AZ32" s="558"/>
      <c r="BA32" s="558"/>
      <c r="BB32" s="558"/>
      <c r="BC32" s="569">
        <f>AT32/AK32*100</f>
        <v>86.894106508244235</v>
      </c>
      <c r="BD32" s="569"/>
      <c r="BE32" s="569"/>
      <c r="BF32" s="569"/>
      <c r="BG32" s="569"/>
      <c r="BH32" s="569"/>
      <c r="BI32" s="569"/>
      <c r="BJ32" s="569"/>
      <c r="BK32" s="73"/>
    </row>
    <row r="33" spans="2:63" ht="11.85" customHeight="1">
      <c r="B33" s="69"/>
      <c r="C33" s="69"/>
      <c r="D33" s="69"/>
      <c r="E33" s="71"/>
      <c r="F33" s="71"/>
      <c r="G33" s="71"/>
      <c r="H33" s="71"/>
      <c r="I33" s="69"/>
      <c r="J33" s="69"/>
      <c r="K33" s="69"/>
      <c r="L33" s="69"/>
      <c r="M33" s="69"/>
      <c r="N33" s="70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4"/>
    </row>
    <row r="34" spans="2:63" ht="11.85" customHeight="1">
      <c r="C34" s="576" t="s">
        <v>8</v>
      </c>
      <c r="D34" s="576"/>
      <c r="E34" s="95" t="s">
        <v>170</v>
      </c>
      <c r="F34" s="64" t="s">
        <v>160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</row>
    <row r="35" spans="2:63" ht="11.85" customHeight="1">
      <c r="B35" s="577" t="s">
        <v>9</v>
      </c>
      <c r="C35" s="577"/>
      <c r="D35" s="577"/>
      <c r="E35" s="66" t="s">
        <v>170</v>
      </c>
      <c r="F35" s="61" t="s">
        <v>158</v>
      </c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</row>
    <row r="36" spans="2:63" ht="9" customHeight="1">
      <c r="B36" s="67"/>
      <c r="C36" s="67"/>
      <c r="D36" s="67"/>
      <c r="E36" s="66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</row>
    <row r="37" spans="2:63" ht="12.95" customHeight="1">
      <c r="B37" s="560" t="s">
        <v>179</v>
      </c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0"/>
      <c r="S37" s="560"/>
      <c r="T37" s="560"/>
      <c r="U37" s="560"/>
      <c r="V37" s="560"/>
      <c r="W37" s="560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0"/>
      <c r="AK37" s="560"/>
      <c r="AL37" s="560"/>
      <c r="AM37" s="560"/>
      <c r="AN37" s="560"/>
      <c r="AO37" s="560"/>
      <c r="AP37" s="560"/>
      <c r="AQ37" s="560"/>
      <c r="AR37" s="560"/>
      <c r="AS37" s="560"/>
      <c r="AT37" s="560"/>
      <c r="AU37" s="560"/>
      <c r="AV37" s="560"/>
      <c r="AW37" s="560"/>
      <c r="AX37" s="560"/>
      <c r="AY37" s="560"/>
      <c r="AZ37" s="560"/>
      <c r="BA37" s="560"/>
      <c r="BB37" s="560"/>
      <c r="BC37" s="560"/>
      <c r="BD37" s="560"/>
      <c r="BE37" s="560"/>
      <c r="BF37" s="560"/>
      <c r="BG37" s="560"/>
      <c r="BH37" s="560"/>
      <c r="BI37" s="560"/>
      <c r="BJ37" s="560"/>
      <c r="BK37" s="66"/>
    </row>
    <row r="38" spans="2:63" ht="8.1" customHeight="1">
      <c r="B38" s="69"/>
      <c r="C38" s="69"/>
      <c r="D38" s="69"/>
      <c r="E38" s="71"/>
      <c r="F38" s="71"/>
      <c r="G38" s="71"/>
      <c r="H38" s="71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4"/>
    </row>
    <row r="39" spans="2:63" ht="12.95" customHeight="1">
      <c r="B39" s="565" t="s">
        <v>1</v>
      </c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O39" s="561" t="s">
        <v>177</v>
      </c>
      <c r="P39" s="561"/>
      <c r="Q39" s="561"/>
      <c r="R39" s="561"/>
      <c r="S39" s="561"/>
      <c r="T39" s="561"/>
      <c r="U39" s="561"/>
      <c r="V39" s="561"/>
      <c r="W39" s="561"/>
      <c r="X39" s="561"/>
      <c r="Y39" s="561"/>
      <c r="Z39" s="561"/>
      <c r="AA39" s="561"/>
      <c r="AB39" s="561"/>
      <c r="AC39" s="561"/>
      <c r="AD39" s="561"/>
      <c r="AE39" s="561"/>
      <c r="AF39" s="561"/>
      <c r="AG39" s="561"/>
      <c r="AH39" s="561"/>
      <c r="AI39" s="561"/>
      <c r="AJ39" s="561"/>
      <c r="AK39" s="561" t="s">
        <v>176</v>
      </c>
      <c r="AL39" s="561"/>
      <c r="AM39" s="561"/>
      <c r="AN39" s="561"/>
      <c r="AO39" s="561"/>
      <c r="AP39" s="561"/>
      <c r="AQ39" s="561"/>
      <c r="AR39" s="561"/>
      <c r="AS39" s="561"/>
      <c r="AT39" s="561"/>
      <c r="AU39" s="561"/>
      <c r="AV39" s="561"/>
      <c r="AW39" s="561"/>
      <c r="AX39" s="561"/>
      <c r="AY39" s="561"/>
      <c r="AZ39" s="561"/>
      <c r="BA39" s="561"/>
      <c r="BB39" s="561"/>
      <c r="BC39" s="561"/>
      <c r="BD39" s="561"/>
      <c r="BE39" s="561"/>
      <c r="BF39" s="561"/>
      <c r="BG39" s="561"/>
      <c r="BH39" s="561"/>
      <c r="BI39" s="561"/>
      <c r="BJ39" s="579"/>
      <c r="BK39" s="64"/>
    </row>
    <row r="40" spans="2:63" ht="12.95" customHeight="1">
      <c r="B40" s="566"/>
      <c r="C40" s="562"/>
      <c r="D40" s="562"/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2" t="s">
        <v>175</v>
      </c>
      <c r="P40" s="562"/>
      <c r="Q40" s="562"/>
      <c r="R40" s="562"/>
      <c r="S40" s="562"/>
      <c r="T40" s="562"/>
      <c r="U40" s="562"/>
      <c r="V40" s="562" t="s">
        <v>174</v>
      </c>
      <c r="W40" s="562"/>
      <c r="X40" s="562"/>
      <c r="Y40" s="562"/>
      <c r="Z40" s="562"/>
      <c r="AA40" s="562"/>
      <c r="AB40" s="562"/>
      <c r="AC40" s="562" t="s">
        <v>173</v>
      </c>
      <c r="AD40" s="562"/>
      <c r="AE40" s="562"/>
      <c r="AF40" s="562"/>
      <c r="AG40" s="562"/>
      <c r="AH40" s="562"/>
      <c r="AI40" s="562"/>
      <c r="AJ40" s="562"/>
      <c r="AK40" s="562" t="s">
        <v>165</v>
      </c>
      <c r="AL40" s="562"/>
      <c r="AM40" s="562"/>
      <c r="AN40" s="562"/>
      <c r="AO40" s="562"/>
      <c r="AP40" s="562"/>
      <c r="AQ40" s="562"/>
      <c r="AR40" s="562"/>
      <c r="AS40" s="562"/>
      <c r="AT40" s="562" t="s">
        <v>164</v>
      </c>
      <c r="AU40" s="562"/>
      <c r="AV40" s="562"/>
      <c r="AW40" s="562"/>
      <c r="AX40" s="562"/>
      <c r="AY40" s="562"/>
      <c r="AZ40" s="562"/>
      <c r="BA40" s="562"/>
      <c r="BB40" s="562"/>
      <c r="BC40" s="562" t="s">
        <v>173</v>
      </c>
      <c r="BD40" s="562"/>
      <c r="BE40" s="562"/>
      <c r="BF40" s="562"/>
      <c r="BG40" s="562"/>
      <c r="BH40" s="562"/>
      <c r="BI40" s="562"/>
      <c r="BJ40" s="580"/>
      <c r="BK40" s="64"/>
    </row>
    <row r="41" spans="2:63" ht="11.85" customHeight="1">
      <c r="B41" s="64"/>
      <c r="C41" s="68"/>
      <c r="D41" s="68"/>
      <c r="E41" s="68"/>
      <c r="F41" s="68"/>
      <c r="G41" s="64"/>
      <c r="H41" s="64"/>
      <c r="I41" s="64"/>
      <c r="J41" s="64"/>
      <c r="K41" s="64"/>
      <c r="L41" s="64"/>
      <c r="M41" s="64"/>
      <c r="N41" s="7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560" t="s">
        <v>172</v>
      </c>
      <c r="AJ41" s="560"/>
      <c r="AK41" s="68"/>
      <c r="AL41" s="68"/>
      <c r="AM41" s="68"/>
      <c r="AN41" s="68"/>
      <c r="AO41" s="68"/>
      <c r="AP41" s="68"/>
      <c r="AQ41" s="68"/>
      <c r="AR41" s="560" t="s">
        <v>163</v>
      </c>
      <c r="AS41" s="560"/>
      <c r="AV41" s="68"/>
      <c r="AW41" s="68"/>
      <c r="AX41" s="68"/>
      <c r="AY41" s="68"/>
      <c r="AZ41" s="68"/>
      <c r="BA41" s="560" t="s">
        <v>163</v>
      </c>
      <c r="BB41" s="560"/>
      <c r="BC41" s="68"/>
      <c r="BD41" s="68"/>
      <c r="BE41" s="68"/>
      <c r="BF41" s="68"/>
      <c r="BG41" s="68"/>
      <c r="BH41" s="68"/>
      <c r="BI41" s="560" t="s">
        <v>171</v>
      </c>
      <c r="BJ41" s="560"/>
      <c r="BK41" s="68"/>
    </row>
    <row r="42" spans="2:63" ht="7.5" customHeight="1">
      <c r="B42" s="64"/>
      <c r="C42" s="68"/>
      <c r="D42" s="68"/>
      <c r="E42" s="68"/>
      <c r="F42" s="68"/>
      <c r="G42" s="64"/>
      <c r="H42" s="64"/>
      <c r="I42" s="64"/>
      <c r="J42" s="64"/>
      <c r="K42" s="64"/>
      <c r="L42" s="64"/>
      <c r="M42" s="64"/>
      <c r="N42" s="76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</row>
    <row r="43" spans="2:63" s="72" customFormat="1" ht="11.85" customHeight="1">
      <c r="B43" s="73"/>
      <c r="C43" s="581" t="s">
        <v>162</v>
      </c>
      <c r="D43" s="581"/>
      <c r="E43" s="581"/>
      <c r="F43" s="581"/>
      <c r="G43" s="560">
        <v>20</v>
      </c>
      <c r="H43" s="560"/>
      <c r="I43" s="560"/>
      <c r="J43" s="581" t="s">
        <v>161</v>
      </c>
      <c r="K43" s="581"/>
      <c r="L43" s="581"/>
      <c r="M43" s="581"/>
      <c r="N43" s="76"/>
      <c r="O43" s="564">
        <v>600648</v>
      </c>
      <c r="P43" s="564"/>
      <c r="Q43" s="564"/>
      <c r="R43" s="564"/>
      <c r="S43" s="564"/>
      <c r="T43" s="564"/>
      <c r="U43" s="564"/>
      <c r="V43" s="564">
        <v>496492</v>
      </c>
      <c r="W43" s="564"/>
      <c r="X43" s="564"/>
      <c r="Y43" s="564"/>
      <c r="Z43" s="564"/>
      <c r="AA43" s="564"/>
      <c r="AB43" s="564"/>
      <c r="AC43" s="583">
        <f>V43/O43*100</f>
        <v>82.659394520584442</v>
      </c>
      <c r="AD43" s="583"/>
      <c r="AE43" s="583"/>
      <c r="AF43" s="583"/>
      <c r="AG43" s="583"/>
      <c r="AH43" s="583"/>
      <c r="AI43" s="583"/>
      <c r="AJ43" s="583"/>
      <c r="AK43" s="564">
        <v>1499420613</v>
      </c>
      <c r="AL43" s="564"/>
      <c r="AM43" s="564"/>
      <c r="AN43" s="564"/>
      <c r="AO43" s="564"/>
      <c r="AP43" s="564"/>
      <c r="AQ43" s="564"/>
      <c r="AR43" s="564"/>
      <c r="AS43" s="564"/>
      <c r="AT43" s="564">
        <v>1236886578</v>
      </c>
      <c r="AU43" s="564"/>
      <c r="AV43" s="564"/>
      <c r="AW43" s="564"/>
      <c r="AX43" s="564"/>
      <c r="AY43" s="564"/>
      <c r="AZ43" s="564"/>
      <c r="BA43" s="564"/>
      <c r="BB43" s="564"/>
      <c r="BC43" s="583">
        <f>AT43/AK43*100</f>
        <v>82.490967996316328</v>
      </c>
      <c r="BD43" s="583"/>
      <c r="BE43" s="583"/>
      <c r="BF43" s="583"/>
      <c r="BG43" s="583"/>
      <c r="BH43" s="583"/>
      <c r="BI43" s="583"/>
      <c r="BJ43" s="583"/>
      <c r="BK43" s="73"/>
    </row>
    <row r="44" spans="2:63" s="72" customFormat="1" ht="11.85" customHeight="1">
      <c r="B44" s="64"/>
      <c r="C44" s="64"/>
      <c r="D44" s="64"/>
      <c r="E44" s="68"/>
      <c r="F44" s="68"/>
      <c r="G44" s="560">
        <v>21</v>
      </c>
      <c r="H44" s="560"/>
      <c r="I44" s="560"/>
      <c r="J44" s="64"/>
      <c r="K44" s="64"/>
      <c r="L44" s="64"/>
      <c r="M44" s="64"/>
      <c r="N44" s="76"/>
      <c r="O44" s="564">
        <v>609006</v>
      </c>
      <c r="P44" s="564"/>
      <c r="Q44" s="564"/>
      <c r="R44" s="564"/>
      <c r="S44" s="564"/>
      <c r="T44" s="564"/>
      <c r="U44" s="564"/>
      <c r="V44" s="564">
        <v>500531</v>
      </c>
      <c r="W44" s="564"/>
      <c r="X44" s="564"/>
      <c r="Y44" s="564"/>
      <c r="Z44" s="564"/>
      <c r="AA44" s="564"/>
      <c r="AB44" s="564"/>
      <c r="AC44" s="583">
        <f>V44/O44*100</f>
        <v>82.188188622115376</v>
      </c>
      <c r="AD44" s="583"/>
      <c r="AE44" s="583"/>
      <c r="AF44" s="583"/>
      <c r="AG44" s="583"/>
      <c r="AH44" s="583"/>
      <c r="AI44" s="583"/>
      <c r="AJ44" s="583"/>
      <c r="AK44" s="564">
        <v>1417439299</v>
      </c>
      <c r="AL44" s="564"/>
      <c r="AM44" s="564"/>
      <c r="AN44" s="564"/>
      <c r="AO44" s="564"/>
      <c r="AP44" s="564"/>
      <c r="AQ44" s="564"/>
      <c r="AR44" s="564"/>
      <c r="AS44" s="564"/>
      <c r="AT44" s="564">
        <v>1163078373</v>
      </c>
      <c r="AU44" s="564"/>
      <c r="AV44" s="564"/>
      <c r="AW44" s="564"/>
      <c r="AX44" s="564"/>
      <c r="AY44" s="564"/>
      <c r="AZ44" s="564"/>
      <c r="BA44" s="564"/>
      <c r="BB44" s="564"/>
      <c r="BC44" s="583">
        <f>AT44/AK44*100</f>
        <v>82.054898140650465</v>
      </c>
      <c r="BD44" s="583"/>
      <c r="BE44" s="583"/>
      <c r="BF44" s="583"/>
      <c r="BG44" s="583"/>
      <c r="BH44" s="583"/>
      <c r="BI44" s="583"/>
      <c r="BJ44" s="583"/>
      <c r="BK44" s="73"/>
    </row>
    <row r="45" spans="2:63" ht="11.85" customHeight="1">
      <c r="B45" s="64"/>
      <c r="C45" s="64"/>
      <c r="D45" s="64"/>
      <c r="E45" s="68"/>
      <c r="F45" s="68"/>
      <c r="G45" s="560">
        <v>22</v>
      </c>
      <c r="H45" s="560"/>
      <c r="I45" s="560"/>
      <c r="J45" s="64"/>
      <c r="K45" s="64"/>
      <c r="L45" s="64"/>
      <c r="M45" s="64"/>
      <c r="N45" s="76"/>
      <c r="O45" s="564">
        <v>614731</v>
      </c>
      <c r="P45" s="564"/>
      <c r="Q45" s="564"/>
      <c r="R45" s="564"/>
      <c r="S45" s="564"/>
      <c r="T45" s="564"/>
      <c r="U45" s="564"/>
      <c r="V45" s="564">
        <v>511274</v>
      </c>
      <c r="W45" s="564"/>
      <c r="X45" s="564"/>
      <c r="Y45" s="564"/>
      <c r="Z45" s="564"/>
      <c r="AA45" s="564"/>
      <c r="AB45" s="564"/>
      <c r="AC45" s="583">
        <f>V45/O45*100</f>
        <v>83.170362321080276</v>
      </c>
      <c r="AD45" s="583"/>
      <c r="AE45" s="583"/>
      <c r="AF45" s="583"/>
      <c r="AG45" s="583"/>
      <c r="AH45" s="583"/>
      <c r="AI45" s="583"/>
      <c r="AJ45" s="583"/>
      <c r="AK45" s="564">
        <v>1428134910</v>
      </c>
      <c r="AL45" s="564"/>
      <c r="AM45" s="564"/>
      <c r="AN45" s="564"/>
      <c r="AO45" s="564"/>
      <c r="AP45" s="564"/>
      <c r="AQ45" s="564"/>
      <c r="AR45" s="564"/>
      <c r="AS45" s="564"/>
      <c r="AT45" s="564">
        <v>1184134731</v>
      </c>
      <c r="AU45" s="564"/>
      <c r="AV45" s="564"/>
      <c r="AW45" s="564"/>
      <c r="AX45" s="564"/>
      <c r="AY45" s="564"/>
      <c r="AZ45" s="564"/>
      <c r="BA45" s="564"/>
      <c r="BB45" s="564"/>
      <c r="BC45" s="583">
        <f>AT45/AK45*100</f>
        <v>82.914766854904485</v>
      </c>
      <c r="BD45" s="583"/>
      <c r="BE45" s="583"/>
      <c r="BF45" s="583"/>
      <c r="BG45" s="583"/>
      <c r="BH45" s="583"/>
      <c r="BI45" s="583"/>
      <c r="BJ45" s="583"/>
      <c r="BK45" s="64"/>
    </row>
    <row r="46" spans="2:63" ht="11.85" customHeight="1">
      <c r="B46" s="64"/>
      <c r="C46" s="64"/>
      <c r="D46" s="64"/>
      <c r="E46" s="68"/>
      <c r="F46" s="68"/>
      <c r="G46" s="560">
        <v>23</v>
      </c>
      <c r="H46" s="560"/>
      <c r="I46" s="560"/>
      <c r="J46" s="64"/>
      <c r="K46" s="64"/>
      <c r="L46" s="64"/>
      <c r="M46" s="64"/>
      <c r="N46" s="76"/>
      <c r="O46" s="564">
        <v>623552</v>
      </c>
      <c r="P46" s="564"/>
      <c r="Q46" s="564"/>
      <c r="R46" s="564"/>
      <c r="S46" s="564"/>
      <c r="T46" s="564"/>
      <c r="U46" s="564"/>
      <c r="V46" s="564">
        <v>524682</v>
      </c>
      <c r="W46" s="564"/>
      <c r="X46" s="564"/>
      <c r="Y46" s="564"/>
      <c r="Z46" s="564"/>
      <c r="AA46" s="564"/>
      <c r="AB46" s="564"/>
      <c r="AC46" s="583">
        <f>V46/O46*100</f>
        <v>84.144064969721853</v>
      </c>
      <c r="AD46" s="583"/>
      <c r="AE46" s="583"/>
      <c r="AF46" s="583"/>
      <c r="AG46" s="583"/>
      <c r="AH46" s="583"/>
      <c r="AI46" s="583"/>
      <c r="AJ46" s="583"/>
      <c r="AK46" s="564">
        <v>1767247492</v>
      </c>
      <c r="AL46" s="564"/>
      <c r="AM46" s="564"/>
      <c r="AN46" s="564"/>
      <c r="AO46" s="564"/>
      <c r="AP46" s="564"/>
      <c r="AQ46" s="564"/>
      <c r="AR46" s="564"/>
      <c r="AS46" s="564"/>
      <c r="AT46" s="564">
        <v>1493216113</v>
      </c>
      <c r="AU46" s="564"/>
      <c r="AV46" s="564"/>
      <c r="AW46" s="564"/>
      <c r="AX46" s="564"/>
      <c r="AY46" s="564"/>
      <c r="AZ46" s="564"/>
      <c r="BA46" s="564"/>
      <c r="BB46" s="564"/>
      <c r="BC46" s="583">
        <f>AT46/AK46*100</f>
        <v>84.493887797804831</v>
      </c>
      <c r="BD46" s="583"/>
      <c r="BE46" s="583"/>
      <c r="BF46" s="583"/>
      <c r="BG46" s="583"/>
      <c r="BH46" s="583"/>
      <c r="BI46" s="583"/>
      <c r="BJ46" s="583"/>
      <c r="BK46" s="64"/>
    </row>
    <row r="47" spans="2:63" s="72" customFormat="1" ht="11.85" customHeight="1">
      <c r="B47" s="73"/>
      <c r="C47" s="73"/>
      <c r="D47" s="73"/>
      <c r="E47" s="75"/>
      <c r="F47" s="75"/>
      <c r="G47" s="582">
        <v>24</v>
      </c>
      <c r="H47" s="582"/>
      <c r="I47" s="582"/>
      <c r="J47" s="73"/>
      <c r="K47" s="73"/>
      <c r="L47" s="73"/>
      <c r="M47" s="73"/>
      <c r="N47" s="74"/>
      <c r="O47" s="558">
        <v>619466</v>
      </c>
      <c r="P47" s="558"/>
      <c r="Q47" s="558"/>
      <c r="R47" s="558"/>
      <c r="S47" s="558"/>
      <c r="T47" s="558"/>
      <c r="U47" s="558"/>
      <c r="V47" s="558">
        <v>525761</v>
      </c>
      <c r="W47" s="558"/>
      <c r="X47" s="558"/>
      <c r="Y47" s="558"/>
      <c r="Z47" s="558"/>
      <c r="AA47" s="558"/>
      <c r="AB47" s="558"/>
      <c r="AC47" s="569">
        <f>V47/O47*100</f>
        <v>84.873261809364848</v>
      </c>
      <c r="AD47" s="569"/>
      <c r="AE47" s="569"/>
      <c r="AF47" s="569"/>
      <c r="AG47" s="569"/>
      <c r="AH47" s="569"/>
      <c r="AI47" s="569"/>
      <c r="AJ47" s="569"/>
      <c r="AK47" s="558">
        <v>1834071427</v>
      </c>
      <c r="AL47" s="558"/>
      <c r="AM47" s="558"/>
      <c r="AN47" s="558"/>
      <c r="AO47" s="558"/>
      <c r="AP47" s="558"/>
      <c r="AQ47" s="558"/>
      <c r="AR47" s="558"/>
      <c r="AS47" s="558"/>
      <c r="AT47" s="558">
        <v>1561123433</v>
      </c>
      <c r="AU47" s="558"/>
      <c r="AV47" s="558"/>
      <c r="AW47" s="558"/>
      <c r="AX47" s="558"/>
      <c r="AY47" s="558"/>
      <c r="AZ47" s="558"/>
      <c r="BA47" s="558"/>
      <c r="BB47" s="558"/>
      <c r="BC47" s="569">
        <f>AT47/AK47*100</f>
        <v>85.117919074369837</v>
      </c>
      <c r="BD47" s="569"/>
      <c r="BE47" s="569"/>
      <c r="BF47" s="569"/>
      <c r="BG47" s="569"/>
      <c r="BH47" s="569"/>
      <c r="BI47" s="569"/>
      <c r="BJ47" s="569"/>
      <c r="BK47" s="73"/>
    </row>
    <row r="48" spans="2:63" ht="11.85" customHeight="1">
      <c r="B48" s="69"/>
      <c r="C48" s="69"/>
      <c r="D48" s="69"/>
      <c r="E48" s="71"/>
      <c r="F48" s="71"/>
      <c r="G48" s="71"/>
      <c r="H48" s="71"/>
      <c r="I48" s="69"/>
      <c r="J48" s="69"/>
      <c r="K48" s="69"/>
      <c r="L48" s="69"/>
      <c r="M48" s="69"/>
      <c r="N48" s="70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4"/>
    </row>
    <row r="49" spans="2:63" ht="11.85" customHeight="1">
      <c r="B49" s="577" t="s">
        <v>9</v>
      </c>
      <c r="C49" s="577"/>
      <c r="D49" s="577"/>
      <c r="E49" s="66" t="s">
        <v>170</v>
      </c>
      <c r="F49" s="61" t="s">
        <v>158</v>
      </c>
    </row>
    <row r="50" spans="2:63" ht="9" customHeight="1">
      <c r="B50" s="67"/>
      <c r="C50" s="67"/>
      <c r="D50" s="67"/>
      <c r="E50" s="66"/>
    </row>
    <row r="51" spans="2:63" ht="12.75" customHeight="1">
      <c r="B51" s="560" t="s">
        <v>178</v>
      </c>
      <c r="C51" s="560"/>
      <c r="D51" s="560"/>
      <c r="E51" s="560"/>
      <c r="F51" s="560"/>
      <c r="G51" s="560"/>
      <c r="H51" s="560"/>
      <c r="I51" s="560"/>
      <c r="J51" s="560"/>
      <c r="K51" s="560"/>
      <c r="L51" s="560"/>
      <c r="M51" s="560"/>
      <c r="N51" s="560"/>
      <c r="O51" s="560"/>
      <c r="P51" s="560"/>
      <c r="Q51" s="560"/>
      <c r="R51" s="560"/>
      <c r="S51" s="560"/>
      <c r="T51" s="560"/>
      <c r="U51" s="560"/>
      <c r="V51" s="560"/>
      <c r="W51" s="560"/>
      <c r="X51" s="560"/>
      <c r="Y51" s="560"/>
      <c r="Z51" s="560"/>
      <c r="AA51" s="560"/>
      <c r="AB51" s="560"/>
      <c r="AC51" s="560"/>
      <c r="AD51" s="560"/>
      <c r="AE51" s="560"/>
      <c r="AF51" s="560"/>
      <c r="AG51" s="560"/>
      <c r="AH51" s="560"/>
      <c r="AI51" s="560"/>
      <c r="AJ51" s="560"/>
      <c r="AK51" s="560"/>
      <c r="AL51" s="560"/>
      <c r="AM51" s="560"/>
      <c r="AN51" s="560"/>
      <c r="AO51" s="560"/>
      <c r="AP51" s="560"/>
      <c r="AQ51" s="560"/>
      <c r="AR51" s="560"/>
      <c r="AS51" s="560"/>
      <c r="AT51" s="560"/>
      <c r="AU51" s="560"/>
      <c r="AV51" s="560"/>
      <c r="AW51" s="560"/>
      <c r="AX51" s="560"/>
      <c r="AY51" s="560"/>
      <c r="AZ51" s="560"/>
      <c r="BA51" s="560"/>
      <c r="BB51" s="560"/>
      <c r="BC51" s="560"/>
      <c r="BD51" s="560"/>
      <c r="BE51" s="560"/>
      <c r="BF51" s="560"/>
      <c r="BG51" s="560"/>
      <c r="BH51" s="560"/>
      <c r="BI51" s="560"/>
      <c r="BJ51" s="560"/>
    </row>
    <row r="52" spans="2:63" ht="8.1" customHeight="1">
      <c r="B52" s="67"/>
      <c r="C52" s="67"/>
      <c r="D52" s="67"/>
      <c r="E52" s="66"/>
    </row>
    <row r="53" spans="2:63" ht="12.95" customHeight="1">
      <c r="B53" s="584" t="s">
        <v>1</v>
      </c>
      <c r="C53" s="585"/>
      <c r="D53" s="585"/>
      <c r="E53" s="585"/>
      <c r="F53" s="585"/>
      <c r="G53" s="585"/>
      <c r="H53" s="585"/>
      <c r="I53" s="585"/>
      <c r="J53" s="585"/>
      <c r="K53" s="585"/>
      <c r="L53" s="585"/>
      <c r="M53" s="585"/>
      <c r="N53" s="585"/>
      <c r="O53" s="585" t="s">
        <v>177</v>
      </c>
      <c r="P53" s="585"/>
      <c r="Q53" s="585"/>
      <c r="R53" s="585"/>
      <c r="S53" s="585"/>
      <c r="T53" s="585"/>
      <c r="U53" s="585"/>
      <c r="V53" s="585"/>
      <c r="W53" s="585"/>
      <c r="X53" s="585"/>
      <c r="Y53" s="585"/>
      <c r="Z53" s="585"/>
      <c r="AA53" s="585"/>
      <c r="AB53" s="585"/>
      <c r="AC53" s="585"/>
      <c r="AD53" s="585"/>
      <c r="AE53" s="585"/>
      <c r="AF53" s="585"/>
      <c r="AG53" s="585"/>
      <c r="AH53" s="585"/>
      <c r="AI53" s="585"/>
      <c r="AJ53" s="585"/>
      <c r="AK53" s="585" t="s">
        <v>176</v>
      </c>
      <c r="AL53" s="585"/>
      <c r="AM53" s="585"/>
      <c r="AN53" s="585"/>
      <c r="AO53" s="585"/>
      <c r="AP53" s="585"/>
      <c r="AQ53" s="585"/>
      <c r="AR53" s="585"/>
      <c r="AS53" s="585"/>
      <c r="AT53" s="585"/>
      <c r="AU53" s="585"/>
      <c r="AV53" s="585"/>
      <c r="AW53" s="585"/>
      <c r="AX53" s="585"/>
      <c r="AY53" s="585"/>
      <c r="AZ53" s="585"/>
      <c r="BA53" s="585"/>
      <c r="BB53" s="585"/>
      <c r="BC53" s="585"/>
      <c r="BD53" s="585"/>
      <c r="BE53" s="585"/>
      <c r="BF53" s="585"/>
      <c r="BG53" s="585"/>
      <c r="BH53" s="585"/>
      <c r="BI53" s="585"/>
      <c r="BJ53" s="588"/>
    </row>
    <row r="54" spans="2:63" ht="12.95" customHeight="1">
      <c r="B54" s="586"/>
      <c r="C54" s="587"/>
      <c r="D54" s="587"/>
      <c r="E54" s="587"/>
      <c r="F54" s="587"/>
      <c r="G54" s="587"/>
      <c r="H54" s="587"/>
      <c r="I54" s="587"/>
      <c r="J54" s="587"/>
      <c r="K54" s="587"/>
      <c r="L54" s="587"/>
      <c r="M54" s="587"/>
      <c r="N54" s="587"/>
      <c r="O54" s="587" t="s">
        <v>175</v>
      </c>
      <c r="P54" s="587"/>
      <c r="Q54" s="587"/>
      <c r="R54" s="587"/>
      <c r="S54" s="587"/>
      <c r="T54" s="587"/>
      <c r="U54" s="587"/>
      <c r="V54" s="587" t="s">
        <v>174</v>
      </c>
      <c r="W54" s="587"/>
      <c r="X54" s="587"/>
      <c r="Y54" s="587"/>
      <c r="Z54" s="587"/>
      <c r="AA54" s="587"/>
      <c r="AB54" s="587"/>
      <c r="AC54" s="587" t="s">
        <v>173</v>
      </c>
      <c r="AD54" s="587"/>
      <c r="AE54" s="587"/>
      <c r="AF54" s="587"/>
      <c r="AG54" s="587"/>
      <c r="AH54" s="587"/>
      <c r="AI54" s="587"/>
      <c r="AJ54" s="587"/>
      <c r="AK54" s="587" t="s">
        <v>165</v>
      </c>
      <c r="AL54" s="587"/>
      <c r="AM54" s="587"/>
      <c r="AN54" s="587"/>
      <c r="AO54" s="587"/>
      <c r="AP54" s="587"/>
      <c r="AQ54" s="587"/>
      <c r="AR54" s="587"/>
      <c r="AS54" s="587"/>
      <c r="AT54" s="587" t="s">
        <v>164</v>
      </c>
      <c r="AU54" s="587"/>
      <c r="AV54" s="587"/>
      <c r="AW54" s="587"/>
      <c r="AX54" s="587"/>
      <c r="AY54" s="587"/>
      <c r="AZ54" s="587"/>
      <c r="BA54" s="587"/>
      <c r="BB54" s="587"/>
      <c r="BC54" s="587" t="s">
        <v>173</v>
      </c>
      <c r="BD54" s="587"/>
      <c r="BE54" s="587"/>
      <c r="BF54" s="587"/>
      <c r="BG54" s="587"/>
      <c r="BH54" s="587"/>
      <c r="BI54" s="587"/>
      <c r="BJ54" s="589"/>
    </row>
    <row r="55" spans="2:63" ht="11.85" customHeight="1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4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590" t="s">
        <v>172</v>
      </c>
      <c r="AJ55" s="590"/>
      <c r="AK55" s="93"/>
      <c r="AL55" s="93"/>
      <c r="AM55" s="93"/>
      <c r="AN55" s="93"/>
      <c r="AO55" s="93"/>
      <c r="AP55" s="93"/>
      <c r="AQ55" s="93"/>
      <c r="AR55" s="590" t="s">
        <v>163</v>
      </c>
      <c r="AS55" s="590"/>
      <c r="AT55" s="93"/>
      <c r="AU55" s="93"/>
      <c r="AV55" s="93"/>
      <c r="AW55" s="93"/>
      <c r="AX55" s="93"/>
      <c r="AY55" s="93"/>
      <c r="AZ55" s="93"/>
      <c r="BA55" s="590" t="s">
        <v>163</v>
      </c>
      <c r="BB55" s="590"/>
      <c r="BC55" s="93"/>
      <c r="BD55" s="93"/>
      <c r="BE55" s="93"/>
      <c r="BF55" s="93"/>
      <c r="BG55" s="93"/>
      <c r="BH55" s="93"/>
      <c r="BI55" s="590" t="s">
        <v>171</v>
      </c>
      <c r="BJ55" s="590"/>
    </row>
    <row r="56" spans="2:63" ht="7.5" customHeight="1">
      <c r="B56" s="64"/>
      <c r="C56" s="291"/>
      <c r="D56" s="291"/>
      <c r="E56" s="291"/>
      <c r="F56" s="291"/>
      <c r="G56" s="64"/>
      <c r="H56" s="64"/>
      <c r="I56" s="64"/>
      <c r="J56" s="64"/>
      <c r="K56" s="64"/>
      <c r="L56" s="64"/>
      <c r="M56" s="64"/>
      <c r="N56" s="76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291"/>
      <c r="Z56" s="291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291"/>
      <c r="AL56" s="291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291"/>
      <c r="AX56" s="291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291"/>
      <c r="BJ56" s="291"/>
      <c r="BK56" s="64"/>
    </row>
    <row r="57" spans="2:63" ht="11.85" customHeight="1">
      <c r="B57" s="93"/>
      <c r="C57" s="591" t="s">
        <v>162</v>
      </c>
      <c r="D57" s="591"/>
      <c r="E57" s="591"/>
      <c r="F57" s="591"/>
      <c r="G57" s="592">
        <v>20</v>
      </c>
      <c r="H57" s="592"/>
      <c r="I57" s="592"/>
      <c r="J57" s="591" t="s">
        <v>161</v>
      </c>
      <c r="K57" s="591"/>
      <c r="L57" s="591"/>
      <c r="M57" s="591"/>
      <c r="N57" s="91"/>
      <c r="O57" s="593">
        <v>1242576</v>
      </c>
      <c r="P57" s="593"/>
      <c r="Q57" s="593"/>
      <c r="R57" s="593"/>
      <c r="S57" s="593"/>
      <c r="T57" s="593"/>
      <c r="U57" s="593"/>
      <c r="V57" s="593">
        <v>1029705</v>
      </c>
      <c r="W57" s="593"/>
      <c r="X57" s="593"/>
      <c r="Y57" s="593"/>
      <c r="Z57" s="593"/>
      <c r="AA57" s="593"/>
      <c r="AB57" s="593"/>
      <c r="AC57" s="583">
        <f>V57/O57*100</f>
        <v>82.86857302893344</v>
      </c>
      <c r="AD57" s="583"/>
      <c r="AE57" s="583"/>
      <c r="AF57" s="583"/>
      <c r="AG57" s="583"/>
      <c r="AH57" s="583"/>
      <c r="AI57" s="583"/>
      <c r="AJ57" s="583"/>
      <c r="AK57" s="594">
        <v>3734024660</v>
      </c>
      <c r="AL57" s="594"/>
      <c r="AM57" s="594"/>
      <c r="AN57" s="594"/>
      <c r="AO57" s="594"/>
      <c r="AP57" s="594"/>
      <c r="AQ57" s="594"/>
      <c r="AR57" s="594"/>
      <c r="AS57" s="594"/>
      <c r="AT57" s="594">
        <v>3140496742</v>
      </c>
      <c r="AU57" s="594"/>
      <c r="AV57" s="594"/>
      <c r="AW57" s="594"/>
      <c r="AX57" s="594"/>
      <c r="AY57" s="594"/>
      <c r="AZ57" s="594"/>
      <c r="BA57" s="594"/>
      <c r="BB57" s="594"/>
      <c r="BC57" s="583">
        <f>AT57/AK57*100</f>
        <v>84.104874176165723</v>
      </c>
      <c r="BD57" s="583"/>
      <c r="BE57" s="583"/>
      <c r="BF57" s="583"/>
      <c r="BG57" s="583"/>
      <c r="BH57" s="583"/>
      <c r="BI57" s="583"/>
      <c r="BJ57" s="583"/>
    </row>
    <row r="58" spans="2:63" ht="11.85" customHeight="1">
      <c r="B58" s="92"/>
      <c r="G58" s="592">
        <v>21</v>
      </c>
      <c r="H58" s="592"/>
      <c r="I58" s="592"/>
      <c r="N58" s="91"/>
      <c r="O58" s="593">
        <v>1254574</v>
      </c>
      <c r="P58" s="593"/>
      <c r="Q58" s="593"/>
      <c r="R58" s="593"/>
      <c r="S58" s="593"/>
      <c r="T58" s="593"/>
      <c r="U58" s="593"/>
      <c r="V58" s="593">
        <v>1036039</v>
      </c>
      <c r="W58" s="593"/>
      <c r="X58" s="593"/>
      <c r="Y58" s="593"/>
      <c r="Z58" s="593"/>
      <c r="AA58" s="593"/>
      <c r="AB58" s="593"/>
      <c r="AC58" s="583">
        <f>V58/O58*100</f>
        <v>82.580939824992385</v>
      </c>
      <c r="AD58" s="583"/>
      <c r="AE58" s="583"/>
      <c r="AF58" s="583"/>
      <c r="AG58" s="583"/>
      <c r="AH58" s="583"/>
      <c r="AI58" s="583"/>
      <c r="AJ58" s="583"/>
      <c r="AK58" s="594">
        <v>4320413768</v>
      </c>
      <c r="AL58" s="594"/>
      <c r="AM58" s="594"/>
      <c r="AN58" s="594"/>
      <c r="AO58" s="594"/>
      <c r="AP58" s="594"/>
      <c r="AQ58" s="594"/>
      <c r="AR58" s="594"/>
      <c r="AS58" s="594"/>
      <c r="AT58" s="594">
        <v>3598763801</v>
      </c>
      <c r="AU58" s="594"/>
      <c r="AV58" s="594"/>
      <c r="AW58" s="594"/>
      <c r="AX58" s="594"/>
      <c r="AY58" s="594"/>
      <c r="AZ58" s="594"/>
      <c r="BA58" s="594"/>
      <c r="BB58" s="594"/>
      <c r="BC58" s="583">
        <f>AT58/AK58*100</f>
        <v>83.296739484883517</v>
      </c>
      <c r="BD58" s="583"/>
      <c r="BE58" s="583"/>
      <c r="BF58" s="583"/>
      <c r="BG58" s="583"/>
      <c r="BH58" s="583"/>
      <c r="BI58" s="583"/>
      <c r="BJ58" s="583"/>
    </row>
    <row r="59" spans="2:63" s="72" customFormat="1" ht="11.85" customHeight="1">
      <c r="B59" s="89"/>
      <c r="C59" s="88"/>
      <c r="D59" s="88"/>
      <c r="E59" s="88"/>
      <c r="F59" s="88"/>
      <c r="G59" s="592">
        <v>22</v>
      </c>
      <c r="H59" s="592"/>
      <c r="I59" s="592"/>
      <c r="J59" s="88"/>
      <c r="K59" s="88"/>
      <c r="L59" s="88"/>
      <c r="M59" s="88"/>
      <c r="N59" s="87"/>
      <c r="O59" s="596">
        <v>1228438</v>
      </c>
      <c r="P59" s="596"/>
      <c r="Q59" s="596"/>
      <c r="R59" s="596"/>
      <c r="S59" s="596"/>
      <c r="T59" s="596"/>
      <c r="U59" s="596"/>
      <c r="V59" s="593">
        <v>1019351</v>
      </c>
      <c r="W59" s="593"/>
      <c r="X59" s="593"/>
      <c r="Y59" s="593"/>
      <c r="Z59" s="593"/>
      <c r="AA59" s="593"/>
      <c r="AB59" s="593"/>
      <c r="AC59" s="583">
        <f>V59/O59*100</f>
        <v>82.979442185930424</v>
      </c>
      <c r="AD59" s="583"/>
      <c r="AE59" s="583"/>
      <c r="AF59" s="583"/>
      <c r="AG59" s="583"/>
      <c r="AH59" s="583"/>
      <c r="AI59" s="583"/>
      <c r="AJ59" s="583"/>
      <c r="AK59" s="594">
        <v>3724129753</v>
      </c>
      <c r="AL59" s="594"/>
      <c r="AM59" s="594"/>
      <c r="AN59" s="594"/>
      <c r="AO59" s="594"/>
      <c r="AP59" s="594"/>
      <c r="AQ59" s="594"/>
      <c r="AR59" s="594"/>
      <c r="AS59" s="594"/>
      <c r="AT59" s="594">
        <v>3147471768</v>
      </c>
      <c r="AU59" s="594"/>
      <c r="AV59" s="594"/>
      <c r="AW59" s="594"/>
      <c r="AX59" s="594"/>
      <c r="AY59" s="594"/>
      <c r="AZ59" s="594"/>
      <c r="BA59" s="594"/>
      <c r="BB59" s="594"/>
      <c r="BC59" s="583">
        <f>AT59/AK59*100</f>
        <v>84.515631214635619</v>
      </c>
      <c r="BD59" s="583"/>
      <c r="BE59" s="583"/>
      <c r="BF59" s="583"/>
      <c r="BG59" s="583"/>
      <c r="BH59" s="583"/>
      <c r="BI59" s="583"/>
      <c r="BJ59" s="583"/>
    </row>
    <row r="60" spans="2:63" s="72" customFormat="1" ht="11.85" customHeight="1">
      <c r="B60" s="89"/>
      <c r="C60" s="88"/>
      <c r="D60" s="88"/>
      <c r="E60" s="88"/>
      <c r="F60" s="88"/>
      <c r="G60" s="590">
        <v>23</v>
      </c>
      <c r="H60" s="590"/>
      <c r="I60" s="590"/>
      <c r="J60" s="88"/>
      <c r="K60" s="88"/>
      <c r="L60" s="88"/>
      <c r="M60" s="88"/>
      <c r="N60" s="87"/>
      <c r="O60" s="595">
        <v>1202683</v>
      </c>
      <c r="P60" s="595"/>
      <c r="Q60" s="595"/>
      <c r="R60" s="595"/>
      <c r="S60" s="595"/>
      <c r="T60" s="595"/>
      <c r="U60" s="595"/>
      <c r="V60" s="595">
        <v>1010262</v>
      </c>
      <c r="W60" s="595"/>
      <c r="X60" s="595"/>
      <c r="Y60" s="595"/>
      <c r="Z60" s="595"/>
      <c r="AA60" s="595"/>
      <c r="AB60" s="595"/>
      <c r="AC60" s="583">
        <f>V60/O60*100</f>
        <v>84.000688460716574</v>
      </c>
      <c r="AD60" s="583"/>
      <c r="AE60" s="583"/>
      <c r="AF60" s="583"/>
      <c r="AG60" s="583"/>
      <c r="AH60" s="583"/>
      <c r="AI60" s="583"/>
      <c r="AJ60" s="583"/>
      <c r="AK60" s="595">
        <v>4024468706</v>
      </c>
      <c r="AL60" s="595"/>
      <c r="AM60" s="595"/>
      <c r="AN60" s="595"/>
      <c r="AO60" s="595"/>
      <c r="AP60" s="595"/>
      <c r="AQ60" s="595"/>
      <c r="AR60" s="595"/>
      <c r="AS60" s="595"/>
      <c r="AT60" s="595">
        <v>3465531691</v>
      </c>
      <c r="AU60" s="595"/>
      <c r="AV60" s="595"/>
      <c r="AW60" s="595"/>
      <c r="AX60" s="595"/>
      <c r="AY60" s="595"/>
      <c r="AZ60" s="595"/>
      <c r="BA60" s="595"/>
      <c r="BB60" s="595"/>
      <c r="BC60" s="583">
        <f>AT60/AK60*100</f>
        <v>86.111532829993394</v>
      </c>
      <c r="BD60" s="583"/>
      <c r="BE60" s="583"/>
      <c r="BF60" s="583"/>
      <c r="BG60" s="583"/>
      <c r="BH60" s="583"/>
      <c r="BI60" s="583"/>
      <c r="BJ60" s="583"/>
    </row>
    <row r="61" spans="2:63" s="72" customFormat="1" ht="11.85" customHeight="1">
      <c r="B61" s="89"/>
      <c r="C61" s="88"/>
      <c r="D61" s="88"/>
      <c r="E61" s="88"/>
      <c r="F61" s="88"/>
      <c r="G61" s="571">
        <v>24</v>
      </c>
      <c r="H61" s="571"/>
      <c r="I61" s="571"/>
      <c r="J61" s="88"/>
      <c r="K61" s="88"/>
      <c r="L61" s="88"/>
      <c r="M61" s="88"/>
      <c r="N61" s="87"/>
      <c r="O61" s="558">
        <v>1192084</v>
      </c>
      <c r="P61" s="558"/>
      <c r="Q61" s="558"/>
      <c r="R61" s="558"/>
      <c r="S61" s="558"/>
      <c r="T61" s="558"/>
      <c r="U61" s="558"/>
      <c r="V61" s="558">
        <v>1010827</v>
      </c>
      <c r="W61" s="558"/>
      <c r="X61" s="558"/>
      <c r="Y61" s="558"/>
      <c r="Z61" s="558"/>
      <c r="AA61" s="558"/>
      <c r="AB61" s="558"/>
      <c r="AC61" s="569">
        <f>V61/O61*100</f>
        <v>84.794947335925997</v>
      </c>
      <c r="AD61" s="569"/>
      <c r="AE61" s="569"/>
      <c r="AF61" s="569"/>
      <c r="AG61" s="569"/>
      <c r="AH61" s="569"/>
      <c r="AI61" s="569"/>
      <c r="AJ61" s="569"/>
      <c r="AK61" s="558">
        <v>4399473677</v>
      </c>
      <c r="AL61" s="558"/>
      <c r="AM61" s="558"/>
      <c r="AN61" s="558"/>
      <c r="AO61" s="558"/>
      <c r="AP61" s="558"/>
      <c r="AQ61" s="558"/>
      <c r="AR61" s="558"/>
      <c r="AS61" s="558"/>
      <c r="AT61" s="558">
        <v>3822905461</v>
      </c>
      <c r="AU61" s="558"/>
      <c r="AV61" s="558"/>
      <c r="AW61" s="558"/>
      <c r="AX61" s="558"/>
      <c r="AY61" s="558"/>
      <c r="AZ61" s="558"/>
      <c r="BA61" s="558"/>
      <c r="BB61" s="558"/>
      <c r="BC61" s="569">
        <f>AT61/AK61*100</f>
        <v>86.894609257142747</v>
      </c>
      <c r="BD61" s="569"/>
      <c r="BE61" s="569"/>
      <c r="BF61" s="569"/>
      <c r="BG61" s="569"/>
      <c r="BH61" s="569"/>
      <c r="BI61" s="569"/>
      <c r="BJ61" s="569"/>
    </row>
    <row r="62" spans="2:63" ht="11.85" customHeight="1">
      <c r="B62" s="86"/>
      <c r="C62" s="85"/>
      <c r="D62" s="85"/>
      <c r="E62" s="85"/>
      <c r="F62" s="85"/>
      <c r="G62" s="82"/>
      <c r="H62" s="82"/>
      <c r="I62" s="82"/>
      <c r="J62" s="85"/>
      <c r="K62" s="85"/>
      <c r="L62" s="85"/>
      <c r="M62" s="85"/>
      <c r="N62" s="84"/>
      <c r="O62" s="83"/>
      <c r="P62" s="83"/>
      <c r="Q62" s="83"/>
      <c r="R62" s="83"/>
      <c r="S62" s="83"/>
      <c r="T62" s="83"/>
      <c r="U62" s="83"/>
      <c r="V62" s="82"/>
      <c r="W62" s="82"/>
      <c r="X62" s="82"/>
      <c r="Y62" s="82"/>
      <c r="Z62" s="82"/>
      <c r="AA62" s="82"/>
      <c r="AB62" s="82"/>
      <c r="AC62" s="81"/>
      <c r="AD62" s="81"/>
      <c r="AE62" s="81"/>
      <c r="AF62" s="81"/>
      <c r="AG62" s="81"/>
      <c r="AH62" s="81"/>
      <c r="AI62" s="81"/>
      <c r="AJ62" s="81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1"/>
      <c r="BD62" s="81"/>
      <c r="BE62" s="81"/>
      <c r="BF62" s="81"/>
      <c r="BG62" s="81"/>
      <c r="BH62" s="81"/>
      <c r="BI62" s="81"/>
      <c r="BJ62" s="81"/>
    </row>
    <row r="63" spans="2:63" ht="11.85" customHeight="1">
      <c r="B63" s="597" t="s">
        <v>9</v>
      </c>
      <c r="C63" s="597"/>
      <c r="D63" s="597"/>
      <c r="E63" s="66" t="s">
        <v>170</v>
      </c>
      <c r="F63" s="61" t="s">
        <v>158</v>
      </c>
    </row>
    <row r="64" spans="2:63" ht="9" customHeight="1">
      <c r="B64" s="67"/>
      <c r="C64" s="67"/>
      <c r="D64" s="67"/>
      <c r="E64" s="66"/>
    </row>
    <row r="65" spans="2:63" ht="12.95" customHeight="1">
      <c r="B65" s="568" t="s">
        <v>169</v>
      </c>
      <c r="C65" s="568"/>
      <c r="D65" s="568"/>
      <c r="E65" s="568"/>
      <c r="F65" s="568"/>
      <c r="G65" s="568"/>
      <c r="H65" s="568"/>
      <c r="I65" s="568"/>
      <c r="J65" s="568"/>
      <c r="K65" s="568"/>
      <c r="L65" s="568"/>
      <c r="M65" s="568"/>
      <c r="N65" s="568"/>
      <c r="O65" s="568"/>
      <c r="P65" s="568"/>
      <c r="Q65" s="568"/>
      <c r="R65" s="568"/>
      <c r="S65" s="568"/>
      <c r="T65" s="568"/>
      <c r="U65" s="568"/>
      <c r="V65" s="568"/>
      <c r="W65" s="568"/>
      <c r="X65" s="568"/>
      <c r="Y65" s="568"/>
      <c r="Z65" s="568"/>
      <c r="AA65" s="568"/>
      <c r="AB65" s="568"/>
      <c r="AC65" s="568"/>
      <c r="AD65" s="568"/>
      <c r="AE65" s="568"/>
      <c r="AF65" s="568"/>
      <c r="AG65" s="568"/>
      <c r="AH65" s="568"/>
      <c r="AI65" s="568"/>
      <c r="AJ65" s="568"/>
      <c r="AK65" s="568"/>
      <c r="AL65" s="568"/>
      <c r="AM65" s="568"/>
      <c r="AN65" s="568"/>
      <c r="AO65" s="568"/>
      <c r="AP65" s="568"/>
      <c r="AQ65" s="568"/>
      <c r="AR65" s="568"/>
      <c r="AS65" s="568"/>
      <c r="AT65" s="568"/>
      <c r="AU65" s="568"/>
      <c r="AV65" s="568"/>
      <c r="AW65" s="568"/>
      <c r="AX65" s="568"/>
      <c r="AY65" s="568"/>
      <c r="AZ65" s="568"/>
      <c r="BA65" s="568"/>
      <c r="BB65" s="568"/>
      <c r="BC65" s="568"/>
      <c r="BD65" s="568"/>
      <c r="BE65" s="568"/>
      <c r="BF65" s="568"/>
      <c r="BG65" s="568"/>
      <c r="BH65" s="568"/>
      <c r="BI65" s="568"/>
      <c r="BJ65" s="568"/>
    </row>
    <row r="66" spans="2:63" ht="12.95" customHeight="1">
      <c r="B66" s="560" t="s">
        <v>168</v>
      </c>
      <c r="C66" s="560"/>
      <c r="D66" s="560"/>
      <c r="E66" s="560"/>
      <c r="F66" s="560"/>
      <c r="G66" s="560"/>
      <c r="H66" s="560"/>
      <c r="I66" s="560"/>
      <c r="J66" s="560"/>
      <c r="K66" s="560"/>
      <c r="L66" s="560"/>
      <c r="M66" s="560"/>
      <c r="N66" s="560"/>
      <c r="O66" s="560"/>
      <c r="P66" s="560"/>
      <c r="Q66" s="560"/>
      <c r="R66" s="560"/>
      <c r="S66" s="560"/>
      <c r="T66" s="560"/>
      <c r="U66" s="560"/>
      <c r="V66" s="560"/>
      <c r="W66" s="560"/>
      <c r="X66" s="560"/>
      <c r="Y66" s="560"/>
      <c r="Z66" s="560"/>
      <c r="AA66" s="560"/>
      <c r="AB66" s="560"/>
      <c r="AC66" s="560"/>
      <c r="AD66" s="560"/>
      <c r="AE66" s="560"/>
      <c r="AF66" s="560"/>
      <c r="AG66" s="560"/>
      <c r="AH66" s="560"/>
      <c r="AI66" s="560"/>
      <c r="AJ66" s="560"/>
      <c r="AK66" s="560"/>
      <c r="AL66" s="560"/>
      <c r="AM66" s="560"/>
      <c r="AN66" s="560"/>
      <c r="AO66" s="560"/>
      <c r="AP66" s="560"/>
      <c r="AQ66" s="560"/>
      <c r="AR66" s="560"/>
      <c r="AS66" s="560"/>
      <c r="AT66" s="560"/>
      <c r="AU66" s="560"/>
      <c r="AV66" s="560"/>
      <c r="AW66" s="560"/>
      <c r="AX66" s="560"/>
      <c r="AY66" s="560"/>
      <c r="AZ66" s="560"/>
      <c r="BA66" s="560"/>
      <c r="BB66" s="560"/>
      <c r="BC66" s="560"/>
      <c r="BD66" s="560"/>
      <c r="BE66" s="560"/>
      <c r="BF66" s="560"/>
      <c r="BG66" s="560"/>
      <c r="BH66" s="560"/>
      <c r="BI66" s="560"/>
      <c r="BJ66" s="560"/>
    </row>
    <row r="67" spans="2:63" ht="8.1" customHeight="1">
      <c r="B67" s="69"/>
      <c r="C67" s="69"/>
      <c r="D67" s="69"/>
      <c r="E67" s="71"/>
      <c r="F67" s="71"/>
      <c r="G67" s="71"/>
      <c r="H67" s="71"/>
      <c r="I67" s="79"/>
      <c r="J67" s="79"/>
      <c r="K67" s="7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4"/>
    </row>
    <row r="68" spans="2:63" ht="12.95" customHeight="1">
      <c r="B68" s="565" t="s">
        <v>1</v>
      </c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  <c r="O68" s="561" t="s">
        <v>167</v>
      </c>
      <c r="P68" s="561"/>
      <c r="Q68" s="561"/>
      <c r="R68" s="561"/>
      <c r="S68" s="561"/>
      <c r="T68" s="561"/>
      <c r="U68" s="561"/>
      <c r="V68" s="561"/>
      <c r="W68" s="561"/>
      <c r="X68" s="561"/>
      <c r="Y68" s="561"/>
      <c r="Z68" s="561"/>
      <c r="AA68" s="561"/>
      <c r="AB68" s="561"/>
      <c r="AC68" s="561"/>
      <c r="AD68" s="561"/>
      <c r="AE68" s="561"/>
      <c r="AF68" s="561"/>
      <c r="AG68" s="561"/>
      <c r="AH68" s="561"/>
      <c r="AI68" s="561"/>
      <c r="AJ68" s="561"/>
      <c r="AK68" s="561"/>
      <c r="AL68" s="561"/>
      <c r="AM68" s="561" t="s">
        <v>166</v>
      </c>
      <c r="AN68" s="561"/>
      <c r="AO68" s="561"/>
      <c r="AP68" s="561"/>
      <c r="AQ68" s="561"/>
      <c r="AR68" s="561"/>
      <c r="AS68" s="561"/>
      <c r="AT68" s="561"/>
      <c r="AU68" s="561"/>
      <c r="AV68" s="561"/>
      <c r="AW68" s="561"/>
      <c r="AX68" s="561"/>
      <c r="AY68" s="561"/>
      <c r="AZ68" s="561"/>
      <c r="BA68" s="561"/>
      <c r="BB68" s="561"/>
      <c r="BC68" s="561"/>
      <c r="BD68" s="561"/>
      <c r="BE68" s="561"/>
      <c r="BF68" s="561"/>
      <c r="BG68" s="561"/>
      <c r="BH68" s="561"/>
      <c r="BI68" s="561"/>
      <c r="BJ68" s="579"/>
      <c r="BK68" s="64"/>
    </row>
    <row r="69" spans="2:63" ht="12.95" customHeight="1">
      <c r="B69" s="566"/>
      <c r="C69" s="562"/>
      <c r="D69" s="562"/>
      <c r="E69" s="562"/>
      <c r="F69" s="562"/>
      <c r="G69" s="562"/>
      <c r="H69" s="562"/>
      <c r="I69" s="562"/>
      <c r="J69" s="562"/>
      <c r="K69" s="562"/>
      <c r="L69" s="562"/>
      <c r="M69" s="562"/>
      <c r="N69" s="562"/>
      <c r="O69" s="562" t="s">
        <v>165</v>
      </c>
      <c r="P69" s="562"/>
      <c r="Q69" s="562"/>
      <c r="R69" s="562"/>
      <c r="S69" s="562"/>
      <c r="T69" s="562"/>
      <c r="U69" s="562"/>
      <c r="V69" s="562"/>
      <c r="W69" s="562"/>
      <c r="X69" s="562"/>
      <c r="Y69" s="562"/>
      <c r="Z69" s="562"/>
      <c r="AA69" s="562" t="s">
        <v>164</v>
      </c>
      <c r="AB69" s="562"/>
      <c r="AC69" s="562"/>
      <c r="AD69" s="562"/>
      <c r="AE69" s="562"/>
      <c r="AF69" s="562"/>
      <c r="AG69" s="562"/>
      <c r="AH69" s="562"/>
      <c r="AI69" s="562"/>
      <c r="AJ69" s="562"/>
      <c r="AK69" s="562"/>
      <c r="AL69" s="562"/>
      <c r="AM69" s="562" t="s">
        <v>165</v>
      </c>
      <c r="AN69" s="562"/>
      <c r="AO69" s="562"/>
      <c r="AP69" s="562"/>
      <c r="AQ69" s="562"/>
      <c r="AR69" s="562"/>
      <c r="AS69" s="562"/>
      <c r="AT69" s="562"/>
      <c r="AU69" s="562"/>
      <c r="AV69" s="562"/>
      <c r="AW69" s="562"/>
      <c r="AX69" s="562"/>
      <c r="AY69" s="562" t="s">
        <v>164</v>
      </c>
      <c r="AZ69" s="562"/>
      <c r="BA69" s="562"/>
      <c r="BB69" s="562"/>
      <c r="BC69" s="562"/>
      <c r="BD69" s="562"/>
      <c r="BE69" s="562"/>
      <c r="BF69" s="562"/>
      <c r="BG69" s="562"/>
      <c r="BH69" s="562"/>
      <c r="BI69" s="562"/>
      <c r="BJ69" s="580"/>
      <c r="BK69" s="64"/>
    </row>
    <row r="70" spans="2:63" ht="11.85" customHeight="1">
      <c r="B70" s="64"/>
      <c r="C70" s="68"/>
      <c r="D70" s="68"/>
      <c r="E70" s="68"/>
      <c r="F70" s="68"/>
      <c r="G70" s="64"/>
      <c r="H70" s="64"/>
      <c r="I70" s="64"/>
      <c r="J70" s="64"/>
      <c r="K70" s="64"/>
      <c r="L70" s="64"/>
      <c r="M70" s="64"/>
      <c r="N70" s="7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560" t="s">
        <v>163</v>
      </c>
      <c r="Z70" s="560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560" t="s">
        <v>163</v>
      </c>
      <c r="AL70" s="560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560" t="s">
        <v>163</v>
      </c>
      <c r="AX70" s="560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560" t="s">
        <v>163</v>
      </c>
      <c r="BJ70" s="560"/>
      <c r="BK70" s="64"/>
    </row>
    <row r="71" spans="2:63" ht="7.5" customHeight="1">
      <c r="B71" s="64"/>
      <c r="C71" s="68"/>
      <c r="D71" s="68"/>
      <c r="E71" s="68"/>
      <c r="F71" s="68"/>
      <c r="G71" s="64"/>
      <c r="H71" s="64"/>
      <c r="I71" s="64"/>
      <c r="J71" s="64"/>
      <c r="K71" s="64"/>
      <c r="L71" s="64"/>
      <c r="M71" s="64"/>
      <c r="N71" s="76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8"/>
      <c r="Z71" s="68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8"/>
      <c r="AL71" s="68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8"/>
      <c r="AX71" s="68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8"/>
      <c r="BJ71" s="68"/>
      <c r="BK71" s="64"/>
    </row>
    <row r="72" spans="2:63" ht="11.85" customHeight="1">
      <c r="C72" s="581" t="s">
        <v>162</v>
      </c>
      <c r="D72" s="581"/>
      <c r="E72" s="581"/>
      <c r="F72" s="581"/>
      <c r="G72" s="560">
        <v>20</v>
      </c>
      <c r="H72" s="560"/>
      <c r="I72" s="560"/>
      <c r="J72" s="581" t="s">
        <v>161</v>
      </c>
      <c r="K72" s="581"/>
      <c r="L72" s="581"/>
      <c r="M72" s="581"/>
      <c r="N72" s="76"/>
      <c r="O72" s="564">
        <v>105089</v>
      </c>
      <c r="P72" s="564"/>
      <c r="Q72" s="564"/>
      <c r="R72" s="564"/>
      <c r="S72" s="564"/>
      <c r="T72" s="564"/>
      <c r="U72" s="564"/>
      <c r="V72" s="564"/>
      <c r="W72" s="564"/>
      <c r="X72" s="564"/>
      <c r="Y72" s="564"/>
      <c r="Z72" s="564"/>
      <c r="AA72" s="564">
        <v>88391</v>
      </c>
      <c r="AB72" s="564"/>
      <c r="AC72" s="564"/>
      <c r="AD72" s="564"/>
      <c r="AE72" s="564"/>
      <c r="AF72" s="564"/>
      <c r="AG72" s="564"/>
      <c r="AH72" s="564"/>
      <c r="AI72" s="564"/>
      <c r="AJ72" s="564"/>
      <c r="AK72" s="564"/>
      <c r="AL72" s="564"/>
      <c r="AM72" s="564">
        <v>65139</v>
      </c>
      <c r="AN72" s="564"/>
      <c r="AO72" s="564"/>
      <c r="AP72" s="564"/>
      <c r="AQ72" s="564"/>
      <c r="AR72" s="564"/>
      <c r="AS72" s="564"/>
      <c r="AT72" s="564"/>
      <c r="AU72" s="564"/>
      <c r="AV72" s="564"/>
      <c r="AW72" s="564"/>
      <c r="AX72" s="564"/>
      <c r="AY72" s="564">
        <v>54789</v>
      </c>
      <c r="AZ72" s="564"/>
      <c r="BA72" s="564"/>
      <c r="BB72" s="564"/>
      <c r="BC72" s="564"/>
      <c r="BD72" s="564"/>
      <c r="BE72" s="564"/>
      <c r="BF72" s="564"/>
      <c r="BG72" s="564"/>
      <c r="BH72" s="564"/>
      <c r="BI72" s="564"/>
      <c r="BJ72" s="564"/>
      <c r="BK72" s="64"/>
    </row>
    <row r="73" spans="2:63" s="72" customFormat="1" ht="11.85" customHeight="1">
      <c r="B73" s="64"/>
      <c r="C73" s="64"/>
      <c r="D73" s="64"/>
      <c r="E73" s="68"/>
      <c r="F73" s="68"/>
      <c r="G73" s="560">
        <v>21</v>
      </c>
      <c r="H73" s="560"/>
      <c r="I73" s="560"/>
      <c r="J73" s="64"/>
      <c r="K73" s="64"/>
      <c r="L73" s="64"/>
      <c r="M73" s="64"/>
      <c r="N73" s="76"/>
      <c r="O73" s="564">
        <v>101386</v>
      </c>
      <c r="P73" s="564"/>
      <c r="Q73" s="564"/>
      <c r="R73" s="564"/>
      <c r="S73" s="564"/>
      <c r="T73" s="564"/>
      <c r="U73" s="564"/>
      <c r="V73" s="564"/>
      <c r="W73" s="564"/>
      <c r="X73" s="564"/>
      <c r="Y73" s="564"/>
      <c r="Z73" s="564"/>
      <c r="AA73" s="564">
        <v>84452</v>
      </c>
      <c r="AB73" s="564"/>
      <c r="AC73" s="564"/>
      <c r="AD73" s="564"/>
      <c r="AE73" s="564"/>
      <c r="AF73" s="564"/>
      <c r="AG73" s="564"/>
      <c r="AH73" s="564"/>
      <c r="AI73" s="564"/>
      <c r="AJ73" s="564"/>
      <c r="AK73" s="564"/>
      <c r="AL73" s="564"/>
      <c r="AM73" s="564">
        <v>62169</v>
      </c>
      <c r="AN73" s="564"/>
      <c r="AO73" s="564"/>
      <c r="AP73" s="564"/>
      <c r="AQ73" s="564"/>
      <c r="AR73" s="564"/>
      <c r="AS73" s="564"/>
      <c r="AT73" s="564"/>
      <c r="AU73" s="564"/>
      <c r="AV73" s="564"/>
      <c r="AW73" s="564"/>
      <c r="AX73" s="564"/>
      <c r="AY73" s="564">
        <v>51786</v>
      </c>
      <c r="AZ73" s="564"/>
      <c r="BA73" s="564"/>
      <c r="BB73" s="564"/>
      <c r="BC73" s="564"/>
      <c r="BD73" s="564"/>
      <c r="BE73" s="564"/>
      <c r="BF73" s="564"/>
      <c r="BG73" s="564"/>
      <c r="BH73" s="564"/>
      <c r="BI73" s="564"/>
      <c r="BJ73" s="564"/>
      <c r="BK73" s="73"/>
    </row>
    <row r="74" spans="2:63" s="72" customFormat="1" ht="11.85" customHeight="1">
      <c r="B74" s="73"/>
      <c r="C74" s="73"/>
      <c r="D74" s="73"/>
      <c r="E74" s="75"/>
      <c r="F74" s="75"/>
      <c r="G74" s="560">
        <v>22</v>
      </c>
      <c r="H74" s="560"/>
      <c r="I74" s="560"/>
      <c r="J74" s="73"/>
      <c r="K74" s="73"/>
      <c r="L74" s="73"/>
      <c r="M74" s="73"/>
      <c r="N74" s="74"/>
      <c r="O74" s="564">
        <v>106840</v>
      </c>
      <c r="P74" s="564"/>
      <c r="Q74" s="564"/>
      <c r="R74" s="564"/>
      <c r="S74" s="564"/>
      <c r="T74" s="564"/>
      <c r="U74" s="564"/>
      <c r="V74" s="564"/>
      <c r="W74" s="564"/>
      <c r="X74" s="564"/>
      <c r="Y74" s="564"/>
      <c r="Z74" s="564"/>
      <c r="AA74" s="564">
        <v>90297</v>
      </c>
      <c r="AB74" s="564"/>
      <c r="AC74" s="564"/>
      <c r="AD74" s="564"/>
      <c r="AE74" s="564"/>
      <c r="AF74" s="564"/>
      <c r="AG74" s="564"/>
      <c r="AH74" s="564"/>
      <c r="AI74" s="564"/>
      <c r="AJ74" s="564"/>
      <c r="AK74" s="564"/>
      <c r="AL74" s="564"/>
      <c r="AM74" s="564">
        <v>65874</v>
      </c>
      <c r="AN74" s="564"/>
      <c r="AO74" s="564"/>
      <c r="AP74" s="564"/>
      <c r="AQ74" s="564"/>
      <c r="AR74" s="564"/>
      <c r="AS74" s="564"/>
      <c r="AT74" s="564"/>
      <c r="AU74" s="564"/>
      <c r="AV74" s="564"/>
      <c r="AW74" s="564"/>
      <c r="AX74" s="564"/>
      <c r="AY74" s="564">
        <v>55674</v>
      </c>
      <c r="AZ74" s="564"/>
      <c r="BA74" s="564"/>
      <c r="BB74" s="564"/>
      <c r="BC74" s="564"/>
      <c r="BD74" s="564"/>
      <c r="BE74" s="564"/>
      <c r="BF74" s="564"/>
      <c r="BG74" s="564"/>
      <c r="BH74" s="564"/>
      <c r="BI74" s="564"/>
      <c r="BJ74" s="564"/>
      <c r="BK74" s="73"/>
    </row>
    <row r="75" spans="2:63" ht="11.85" customHeight="1">
      <c r="B75" s="64"/>
      <c r="C75" s="64"/>
      <c r="D75" s="64"/>
      <c r="E75" s="68"/>
      <c r="F75" s="68"/>
      <c r="G75" s="560">
        <v>23</v>
      </c>
      <c r="H75" s="560"/>
      <c r="I75" s="560"/>
      <c r="J75" s="64"/>
      <c r="K75" s="64"/>
      <c r="L75" s="64"/>
      <c r="M75" s="64"/>
      <c r="N75" s="76"/>
      <c r="O75" s="564">
        <v>109864</v>
      </c>
      <c r="P75" s="564"/>
      <c r="Q75" s="564"/>
      <c r="R75" s="564"/>
      <c r="S75" s="564"/>
      <c r="T75" s="564"/>
      <c r="U75" s="564"/>
      <c r="V75" s="564"/>
      <c r="W75" s="564"/>
      <c r="X75" s="564"/>
      <c r="Y75" s="564"/>
      <c r="Z75" s="564"/>
      <c r="AA75" s="564">
        <v>94604</v>
      </c>
      <c r="AB75" s="564"/>
      <c r="AC75" s="564"/>
      <c r="AD75" s="564"/>
      <c r="AE75" s="564"/>
      <c r="AF75" s="564"/>
      <c r="AG75" s="564"/>
      <c r="AH75" s="564"/>
      <c r="AI75" s="564"/>
      <c r="AJ75" s="564"/>
      <c r="AK75" s="564"/>
      <c r="AL75" s="564"/>
      <c r="AM75" s="564">
        <v>67975</v>
      </c>
      <c r="AN75" s="564"/>
      <c r="AO75" s="564"/>
      <c r="AP75" s="564"/>
      <c r="AQ75" s="564"/>
      <c r="AR75" s="564"/>
      <c r="AS75" s="564"/>
      <c r="AT75" s="564"/>
      <c r="AU75" s="564"/>
      <c r="AV75" s="564"/>
      <c r="AW75" s="564"/>
      <c r="AX75" s="564"/>
      <c r="AY75" s="564">
        <v>58533</v>
      </c>
      <c r="AZ75" s="564"/>
      <c r="BA75" s="564"/>
      <c r="BB75" s="564"/>
      <c r="BC75" s="564"/>
      <c r="BD75" s="564"/>
      <c r="BE75" s="564"/>
      <c r="BF75" s="564"/>
      <c r="BG75" s="564"/>
      <c r="BH75" s="564"/>
      <c r="BI75" s="564"/>
      <c r="BJ75" s="564"/>
      <c r="BK75" s="64"/>
    </row>
    <row r="76" spans="2:63" s="72" customFormat="1" ht="11.85" customHeight="1">
      <c r="B76" s="73"/>
      <c r="C76" s="73"/>
      <c r="D76" s="73"/>
      <c r="E76" s="75"/>
      <c r="F76" s="75"/>
      <c r="G76" s="582">
        <v>24</v>
      </c>
      <c r="H76" s="582"/>
      <c r="I76" s="582"/>
      <c r="J76" s="73"/>
      <c r="K76" s="73"/>
      <c r="L76" s="73"/>
      <c r="M76" s="73"/>
      <c r="N76" s="74"/>
      <c r="O76" s="558">
        <v>108437</v>
      </c>
      <c r="P76" s="558"/>
      <c r="Q76" s="558"/>
      <c r="R76" s="558"/>
      <c r="S76" s="558"/>
      <c r="T76" s="558"/>
      <c r="U76" s="558"/>
      <c r="V76" s="558"/>
      <c r="W76" s="558"/>
      <c r="X76" s="558"/>
      <c r="Y76" s="558"/>
      <c r="Z76" s="558"/>
      <c r="AA76" s="558">
        <v>94226</v>
      </c>
      <c r="AB76" s="558"/>
      <c r="AC76" s="558"/>
      <c r="AD76" s="558"/>
      <c r="AE76" s="558"/>
      <c r="AF76" s="558"/>
      <c r="AG76" s="558"/>
      <c r="AH76" s="558"/>
      <c r="AI76" s="558"/>
      <c r="AJ76" s="558"/>
      <c r="AK76" s="558"/>
      <c r="AL76" s="558"/>
      <c r="AM76" s="558">
        <v>67632</v>
      </c>
      <c r="AN76" s="558"/>
      <c r="AO76" s="558"/>
      <c r="AP76" s="558"/>
      <c r="AQ76" s="558"/>
      <c r="AR76" s="558"/>
      <c r="AS76" s="558"/>
      <c r="AT76" s="558"/>
      <c r="AU76" s="558"/>
      <c r="AV76" s="558"/>
      <c r="AW76" s="558"/>
      <c r="AX76" s="558"/>
      <c r="AY76" s="558">
        <v>58768</v>
      </c>
      <c r="AZ76" s="558"/>
      <c r="BA76" s="558"/>
      <c r="BB76" s="558"/>
      <c r="BC76" s="558"/>
      <c r="BD76" s="558"/>
      <c r="BE76" s="558"/>
      <c r="BF76" s="558"/>
      <c r="BG76" s="558"/>
      <c r="BH76" s="558"/>
      <c r="BI76" s="558"/>
      <c r="BJ76" s="558"/>
      <c r="BK76" s="73"/>
    </row>
    <row r="77" spans="2:63" ht="11.85" customHeight="1">
      <c r="B77" s="69"/>
      <c r="C77" s="69"/>
      <c r="D77" s="69"/>
      <c r="E77" s="71"/>
      <c r="F77" s="71"/>
      <c r="G77" s="71"/>
      <c r="H77" s="71"/>
      <c r="I77" s="69"/>
      <c r="J77" s="69"/>
      <c r="K77" s="69"/>
      <c r="L77" s="69"/>
      <c r="M77" s="69"/>
      <c r="N77" s="70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4"/>
    </row>
    <row r="78" spans="2:63" ht="11.85" customHeight="1">
      <c r="C78" s="576" t="s">
        <v>8</v>
      </c>
      <c r="D78" s="576"/>
      <c r="E78" s="68" t="s">
        <v>159</v>
      </c>
      <c r="F78" s="599">
        <v>-1</v>
      </c>
      <c r="G78" s="599"/>
      <c r="H78" s="64" t="s">
        <v>160</v>
      </c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</row>
    <row r="79" spans="2:63" ht="11.85" customHeight="1">
      <c r="B79" s="64"/>
      <c r="C79" s="68"/>
      <c r="D79" s="68"/>
      <c r="E79" s="68"/>
      <c r="F79" s="598">
        <v>-2</v>
      </c>
      <c r="G79" s="598"/>
      <c r="H79" s="64" t="s">
        <v>448</v>
      </c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</row>
    <row r="80" spans="2:63" ht="11.85" customHeight="1">
      <c r="B80" s="577" t="s">
        <v>9</v>
      </c>
      <c r="C80" s="577"/>
      <c r="D80" s="577"/>
      <c r="E80" s="66" t="s">
        <v>159</v>
      </c>
      <c r="F80" s="61" t="s">
        <v>158</v>
      </c>
      <c r="I80" s="65"/>
      <c r="J80" s="65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</row>
    <row r="81" spans="8:56" ht="11.1" customHeight="1"/>
    <row r="82" spans="8:56" ht="11.1" customHeight="1"/>
    <row r="83" spans="8:56" ht="11.1" customHeight="1"/>
    <row r="84" spans="8:56" ht="12" customHeight="1">
      <c r="H84" s="63"/>
      <c r="I84" s="63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</row>
    <row r="85" spans="8:56" ht="12" customHeight="1">
      <c r="H85" s="63"/>
      <c r="I85" s="63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</row>
    <row r="86" spans="8:56" ht="12" customHeight="1">
      <c r="H86" s="63"/>
      <c r="I86" s="63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</row>
    <row r="87" spans="8:56" ht="12" customHeight="1">
      <c r="H87" s="63"/>
      <c r="I87" s="63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</row>
  </sheetData>
  <mergeCells count="260">
    <mergeCell ref="F79:G79"/>
    <mergeCell ref="B80:D80"/>
    <mergeCell ref="G76:I76"/>
    <mergeCell ref="O76:Z76"/>
    <mergeCell ref="AA76:AL76"/>
    <mergeCell ref="AM76:AX76"/>
    <mergeCell ref="AY76:BJ76"/>
    <mergeCell ref="C78:D78"/>
    <mergeCell ref="F78:G78"/>
    <mergeCell ref="G74:I74"/>
    <mergeCell ref="O74:Z74"/>
    <mergeCell ref="AA74:AL74"/>
    <mergeCell ref="AM74:AX74"/>
    <mergeCell ref="AY74:BJ74"/>
    <mergeCell ref="G75:I75"/>
    <mergeCell ref="O75:Z75"/>
    <mergeCell ref="AA75:AL75"/>
    <mergeCell ref="AM75:AX75"/>
    <mergeCell ref="AY75:BJ75"/>
    <mergeCell ref="G73:I73"/>
    <mergeCell ref="O73:Z73"/>
    <mergeCell ref="AA73:AL73"/>
    <mergeCell ref="AM73:AX73"/>
    <mergeCell ref="AY73:BJ73"/>
    <mergeCell ref="Y70:Z70"/>
    <mergeCell ref="AK70:AL70"/>
    <mergeCell ref="AW70:AX70"/>
    <mergeCell ref="BI70:BJ70"/>
    <mergeCell ref="C72:F72"/>
    <mergeCell ref="G72:I72"/>
    <mergeCell ref="J72:M72"/>
    <mergeCell ref="O72:Z72"/>
    <mergeCell ref="AA72:AL72"/>
    <mergeCell ref="AM72:AX72"/>
    <mergeCell ref="B63:D63"/>
    <mergeCell ref="B65:BJ65"/>
    <mergeCell ref="B66:BJ66"/>
    <mergeCell ref="B68:N69"/>
    <mergeCell ref="O68:AL68"/>
    <mergeCell ref="AM68:BJ68"/>
    <mergeCell ref="O69:Z69"/>
    <mergeCell ref="AA69:AL69"/>
    <mergeCell ref="AM69:AX69"/>
    <mergeCell ref="AY69:BJ69"/>
    <mergeCell ref="AY72:BJ72"/>
    <mergeCell ref="G60:I60"/>
    <mergeCell ref="O60:U60"/>
    <mergeCell ref="V60:AB60"/>
    <mergeCell ref="AC60:AJ60"/>
    <mergeCell ref="AK60:AS60"/>
    <mergeCell ref="AT60:BB60"/>
    <mergeCell ref="BC60:BJ60"/>
    <mergeCell ref="G59:I59"/>
    <mergeCell ref="O59:U59"/>
    <mergeCell ref="G58:I58"/>
    <mergeCell ref="O58:U58"/>
    <mergeCell ref="V58:AB58"/>
    <mergeCell ref="AC58:AJ58"/>
    <mergeCell ref="AK58:AS58"/>
    <mergeCell ref="AT58:BB58"/>
    <mergeCell ref="BC58:BJ58"/>
    <mergeCell ref="V59:AB59"/>
    <mergeCell ref="AC59:AJ59"/>
    <mergeCell ref="AK59:AS59"/>
    <mergeCell ref="AT59:BB59"/>
    <mergeCell ref="BC59:BJ59"/>
    <mergeCell ref="AI55:AJ55"/>
    <mergeCell ref="AR55:AS55"/>
    <mergeCell ref="BA55:BB55"/>
    <mergeCell ref="BI55:BJ55"/>
    <mergeCell ref="C57:F57"/>
    <mergeCell ref="G57:I57"/>
    <mergeCell ref="J57:M57"/>
    <mergeCell ref="O57:U57"/>
    <mergeCell ref="V57:AB57"/>
    <mergeCell ref="AC57:AJ57"/>
    <mergeCell ref="BC57:BJ57"/>
    <mergeCell ref="AK57:AS57"/>
    <mergeCell ref="AT57:BB57"/>
    <mergeCell ref="B53:N54"/>
    <mergeCell ref="O53:AJ53"/>
    <mergeCell ref="AK53:BJ53"/>
    <mergeCell ref="O54:U54"/>
    <mergeCell ref="V54:AB54"/>
    <mergeCell ref="AC54:AJ54"/>
    <mergeCell ref="AK54:AS54"/>
    <mergeCell ref="AT54:BB54"/>
    <mergeCell ref="BC54:BJ54"/>
    <mergeCell ref="G47:I47"/>
    <mergeCell ref="O47:U47"/>
    <mergeCell ref="V47:AB47"/>
    <mergeCell ref="AC47:AJ47"/>
    <mergeCell ref="AK47:AS47"/>
    <mergeCell ref="AT47:BB47"/>
    <mergeCell ref="BC47:BJ47"/>
    <mergeCell ref="B49:D49"/>
    <mergeCell ref="B51:BJ51"/>
    <mergeCell ref="G46:I46"/>
    <mergeCell ref="O46:U46"/>
    <mergeCell ref="V46:AB46"/>
    <mergeCell ref="AC46:AJ46"/>
    <mergeCell ref="AK46:AS46"/>
    <mergeCell ref="AT46:BB46"/>
    <mergeCell ref="BC46:BJ46"/>
    <mergeCell ref="G45:I45"/>
    <mergeCell ref="O45:U45"/>
    <mergeCell ref="G44:I44"/>
    <mergeCell ref="O44:U44"/>
    <mergeCell ref="V44:AB44"/>
    <mergeCell ref="AC44:AJ44"/>
    <mergeCell ref="AK44:AS44"/>
    <mergeCell ref="AT44:BB44"/>
    <mergeCell ref="BC44:BJ44"/>
    <mergeCell ref="V45:AB45"/>
    <mergeCell ref="AC45:AJ45"/>
    <mergeCell ref="AK45:AS45"/>
    <mergeCell ref="AT45:BB45"/>
    <mergeCell ref="BC45:BJ45"/>
    <mergeCell ref="AI41:AJ41"/>
    <mergeCell ref="AR41:AS41"/>
    <mergeCell ref="BA41:BB41"/>
    <mergeCell ref="BI41:BJ41"/>
    <mergeCell ref="C43:F43"/>
    <mergeCell ref="G43:I43"/>
    <mergeCell ref="J43:M43"/>
    <mergeCell ref="O43:U43"/>
    <mergeCell ref="V43:AB43"/>
    <mergeCell ref="AC43:AJ43"/>
    <mergeCell ref="BC43:BJ43"/>
    <mergeCell ref="AK43:AS43"/>
    <mergeCell ref="AT43:BB43"/>
    <mergeCell ref="B37:BJ37"/>
    <mergeCell ref="B39:N40"/>
    <mergeCell ref="O39:AJ39"/>
    <mergeCell ref="AK39:BJ39"/>
    <mergeCell ref="O40:U40"/>
    <mergeCell ref="V40:AB40"/>
    <mergeCell ref="AC40:AJ40"/>
    <mergeCell ref="AK40:AS40"/>
    <mergeCell ref="AT40:BB40"/>
    <mergeCell ref="BC40:BJ40"/>
    <mergeCell ref="G32:I32"/>
    <mergeCell ref="O32:U32"/>
    <mergeCell ref="V32:AB32"/>
    <mergeCell ref="AC32:AJ32"/>
    <mergeCell ref="AK32:AS32"/>
    <mergeCell ref="AT32:BB32"/>
    <mergeCell ref="BC32:BJ32"/>
    <mergeCell ref="C34:D34"/>
    <mergeCell ref="B35:D35"/>
    <mergeCell ref="G31:I31"/>
    <mergeCell ref="O31:U31"/>
    <mergeCell ref="V31:AB31"/>
    <mergeCell ref="AC31:AJ31"/>
    <mergeCell ref="AK31:AS31"/>
    <mergeCell ref="AT31:BB31"/>
    <mergeCell ref="BC31:BJ31"/>
    <mergeCell ref="G30:I30"/>
    <mergeCell ref="O30:U30"/>
    <mergeCell ref="G29:I29"/>
    <mergeCell ref="O29:U29"/>
    <mergeCell ref="V29:AB29"/>
    <mergeCell ref="AC29:AJ29"/>
    <mergeCell ref="AK29:AS29"/>
    <mergeCell ref="AT29:BB29"/>
    <mergeCell ref="BC29:BJ29"/>
    <mergeCell ref="V30:AB30"/>
    <mergeCell ref="AC30:AJ30"/>
    <mergeCell ref="AK30:AS30"/>
    <mergeCell ref="AT30:BB30"/>
    <mergeCell ref="BC30:BJ30"/>
    <mergeCell ref="AI26:AJ26"/>
    <mergeCell ref="AR26:AS26"/>
    <mergeCell ref="BA26:BB26"/>
    <mergeCell ref="BI26:BJ26"/>
    <mergeCell ref="C28:F28"/>
    <mergeCell ref="G28:I28"/>
    <mergeCell ref="J28:M28"/>
    <mergeCell ref="O28:U28"/>
    <mergeCell ref="V28:AB28"/>
    <mergeCell ref="AC28:AJ28"/>
    <mergeCell ref="BC28:BJ28"/>
    <mergeCell ref="AK28:AS28"/>
    <mergeCell ref="AT28:BB28"/>
    <mergeCell ref="C18:D18"/>
    <mergeCell ref="B19:D19"/>
    <mergeCell ref="B21:BJ21"/>
    <mergeCell ref="B22:BJ22"/>
    <mergeCell ref="G16:H16"/>
    <mergeCell ref="N16:T16"/>
    <mergeCell ref="U16:AA16"/>
    <mergeCell ref="AB16:AH16"/>
    <mergeCell ref="B24:N25"/>
    <mergeCell ref="O24:AJ24"/>
    <mergeCell ref="AK24:BJ24"/>
    <mergeCell ref="O25:U25"/>
    <mergeCell ref="V25:AB25"/>
    <mergeCell ref="AC25:AJ25"/>
    <mergeCell ref="AK25:AS25"/>
    <mergeCell ref="AT25:BB25"/>
    <mergeCell ref="BC25:BJ25"/>
    <mergeCell ref="AP16:AV16"/>
    <mergeCell ref="BD14:BJ14"/>
    <mergeCell ref="G15:H15"/>
    <mergeCell ref="N15:T15"/>
    <mergeCell ref="U15:AA15"/>
    <mergeCell ref="AB15:AH15"/>
    <mergeCell ref="AI15:AO15"/>
    <mergeCell ref="AP15:AV15"/>
    <mergeCell ref="AW15:BC15"/>
    <mergeCell ref="AW16:BC16"/>
    <mergeCell ref="BD16:BJ16"/>
    <mergeCell ref="AS1:BK2"/>
    <mergeCell ref="BC61:BJ61"/>
    <mergeCell ref="G61:I61"/>
    <mergeCell ref="O61:U61"/>
    <mergeCell ref="V61:AB61"/>
    <mergeCell ref="AC61:AJ61"/>
    <mergeCell ref="AK61:AS61"/>
    <mergeCell ref="G12:H12"/>
    <mergeCell ref="I12:L12"/>
    <mergeCell ref="N12:T12"/>
    <mergeCell ref="U8:AA9"/>
    <mergeCell ref="G13:H13"/>
    <mergeCell ref="N13:T13"/>
    <mergeCell ref="U13:AA13"/>
    <mergeCell ref="AB13:AH13"/>
    <mergeCell ref="AI13:AO13"/>
    <mergeCell ref="BD8:BJ9"/>
    <mergeCell ref="AB9:AH9"/>
    <mergeCell ref="AI9:AO9"/>
    <mergeCell ref="AN10:AO10"/>
    <mergeCell ref="BB10:BC10"/>
    <mergeCell ref="AW14:BC14"/>
    <mergeCell ref="AB12:AH12"/>
    <mergeCell ref="AI12:AO12"/>
    <mergeCell ref="AT61:BB61"/>
    <mergeCell ref="B5:BJ5"/>
    <mergeCell ref="B6:BJ6"/>
    <mergeCell ref="AB8:AO8"/>
    <mergeCell ref="AP8:AV9"/>
    <mergeCell ref="AW8:BC9"/>
    <mergeCell ref="C12:F12"/>
    <mergeCell ref="U12:AA12"/>
    <mergeCell ref="B8:M9"/>
    <mergeCell ref="N8:T9"/>
    <mergeCell ref="AP12:AV12"/>
    <mergeCell ref="AW12:BC12"/>
    <mergeCell ref="BD12:BJ12"/>
    <mergeCell ref="BD15:BJ15"/>
    <mergeCell ref="AP13:AV13"/>
    <mergeCell ref="AW13:BC13"/>
    <mergeCell ref="BD13:BJ13"/>
    <mergeCell ref="G14:H14"/>
    <mergeCell ref="N14:T14"/>
    <mergeCell ref="U14:AA14"/>
    <mergeCell ref="AB14:AH14"/>
    <mergeCell ref="AI14:AO14"/>
    <mergeCell ref="AP14:AV14"/>
    <mergeCell ref="AI16:AO16"/>
  </mergeCells>
  <phoneticPr fontId="15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J81"/>
  <sheetViews>
    <sheetView view="pageBreakPreview" zoomScaleNormal="100" zoomScaleSheetLayoutView="100" workbookViewId="0">
      <selection sqref="A1:S2"/>
    </sheetView>
  </sheetViews>
  <sheetFormatPr defaultRowHeight="12" customHeight="1"/>
  <cols>
    <col min="1" max="66" width="1.625" style="61" customWidth="1"/>
    <col min="67" max="16384" width="9" style="61"/>
  </cols>
  <sheetData>
    <row r="1" spans="1:62" ht="11.1" customHeight="1">
      <c r="A1" s="648">
        <f>'193'!AS1+1</f>
        <v>194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</row>
    <row r="2" spans="1:62" ht="11.1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62" ht="11.1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spans="1:62" ht="11.1" customHeight="1">
      <c r="A4" s="161"/>
    </row>
    <row r="5" spans="1:62" ht="12.95" customHeight="1">
      <c r="B5" s="560" t="s">
        <v>179</v>
      </c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Z5" s="560"/>
      <c r="AA5" s="560"/>
      <c r="AB5" s="560"/>
      <c r="AC5" s="560"/>
      <c r="AD5" s="560"/>
      <c r="AE5" s="560"/>
      <c r="AF5" s="560"/>
      <c r="AG5" s="560"/>
      <c r="AH5" s="560"/>
      <c r="AI5" s="560"/>
      <c r="AJ5" s="560"/>
      <c r="AK5" s="560"/>
      <c r="AL5" s="560"/>
      <c r="AM5" s="560"/>
      <c r="AN5" s="560"/>
      <c r="AO5" s="560"/>
      <c r="AP5" s="560"/>
      <c r="AQ5" s="560"/>
      <c r="AR5" s="560"/>
      <c r="AS5" s="560"/>
      <c r="AT5" s="560"/>
      <c r="AU5" s="560"/>
      <c r="AV5" s="560"/>
      <c r="AW5" s="560"/>
      <c r="AX5" s="560"/>
      <c r="AY5" s="560"/>
      <c r="AZ5" s="560"/>
    </row>
    <row r="6" spans="1:62" ht="8.1" customHeight="1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>
      <c r="B7" s="565" t="s">
        <v>1</v>
      </c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 t="s">
        <v>211</v>
      </c>
      <c r="P7" s="561"/>
      <c r="Q7" s="561"/>
      <c r="R7" s="561"/>
      <c r="S7" s="561"/>
      <c r="T7" s="561"/>
      <c r="U7" s="561"/>
      <c r="V7" s="561"/>
      <c r="W7" s="561"/>
      <c r="X7" s="561"/>
      <c r="Y7" s="561"/>
      <c r="Z7" s="561"/>
      <c r="AA7" s="561"/>
      <c r="AB7" s="561"/>
      <c r="AC7" s="561"/>
      <c r="AD7" s="561"/>
      <c r="AE7" s="561"/>
      <c r="AF7" s="561"/>
      <c r="AG7" s="561"/>
      <c r="AH7" s="561"/>
      <c r="AI7" s="561"/>
      <c r="AJ7" s="561"/>
      <c r="AK7" s="561"/>
      <c r="AL7" s="579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</row>
    <row r="8" spans="1:62" ht="15" customHeight="1">
      <c r="B8" s="566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 t="s">
        <v>165</v>
      </c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 t="s">
        <v>164</v>
      </c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80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</row>
    <row r="9" spans="1:62" ht="12.75" customHeight="1">
      <c r="B9" s="64"/>
      <c r="C9" s="68"/>
      <c r="D9" s="68"/>
      <c r="E9" s="68"/>
      <c r="F9" s="68"/>
      <c r="G9" s="64"/>
      <c r="H9" s="64"/>
      <c r="I9" s="64"/>
      <c r="J9" s="64"/>
      <c r="K9" s="64"/>
      <c r="L9" s="64"/>
      <c r="M9" s="64"/>
      <c r="N9" s="78"/>
      <c r="O9" s="64"/>
      <c r="P9" s="64"/>
      <c r="Q9" s="64"/>
      <c r="R9" s="64"/>
      <c r="S9" s="64"/>
      <c r="T9" s="64"/>
      <c r="U9" s="64"/>
      <c r="V9" s="64"/>
      <c r="W9" s="64"/>
      <c r="X9" s="64"/>
      <c r="Y9" s="560" t="s">
        <v>163</v>
      </c>
      <c r="Z9" s="560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560" t="s">
        <v>163</v>
      </c>
      <c r="AL9" s="560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</row>
    <row r="10" spans="1:62" ht="9.9499999999999993" customHeight="1">
      <c r="B10" s="64"/>
      <c r="C10" s="68"/>
      <c r="D10" s="68"/>
      <c r="E10" s="68"/>
      <c r="F10" s="68"/>
      <c r="G10" s="64"/>
      <c r="H10" s="64"/>
      <c r="I10" s="64"/>
      <c r="J10" s="64"/>
      <c r="K10" s="64"/>
      <c r="L10" s="64"/>
      <c r="M10" s="64"/>
      <c r="N10" s="76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8"/>
      <c r="Z10" s="68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8"/>
      <c r="AL10" s="68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8"/>
      <c r="AX10" s="68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8"/>
      <c r="BJ10" s="68"/>
    </row>
    <row r="11" spans="1:62" s="72" customFormat="1" ht="12.75" customHeight="1">
      <c r="B11" s="73"/>
      <c r="C11" s="581" t="s">
        <v>162</v>
      </c>
      <c r="D11" s="581"/>
      <c r="E11" s="581"/>
      <c r="F11" s="581"/>
      <c r="G11" s="560">
        <v>20</v>
      </c>
      <c r="H11" s="560"/>
      <c r="I11" s="560"/>
      <c r="J11" s="581" t="s">
        <v>161</v>
      </c>
      <c r="K11" s="581"/>
      <c r="L11" s="581"/>
      <c r="M11" s="581"/>
      <c r="N11" s="76"/>
      <c r="O11" s="651">
        <v>20762</v>
      </c>
      <c r="P11" s="651"/>
      <c r="Q11" s="651"/>
      <c r="R11" s="651"/>
      <c r="S11" s="651"/>
      <c r="T11" s="651"/>
      <c r="U11" s="651"/>
      <c r="V11" s="651"/>
      <c r="W11" s="651"/>
      <c r="X11" s="651"/>
      <c r="Y11" s="651"/>
      <c r="Z11" s="651"/>
      <c r="AA11" s="651">
        <v>17126</v>
      </c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651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</row>
    <row r="12" spans="1:62" ht="12.75" customHeight="1">
      <c r="B12" s="64"/>
      <c r="C12" s="64"/>
      <c r="D12" s="64"/>
      <c r="E12" s="68"/>
      <c r="F12" s="68"/>
      <c r="G12" s="560">
        <v>21</v>
      </c>
      <c r="H12" s="560"/>
      <c r="I12" s="560"/>
      <c r="J12" s="64"/>
      <c r="K12" s="64"/>
      <c r="L12" s="64"/>
      <c r="M12" s="64"/>
      <c r="N12" s="76"/>
      <c r="O12" s="651">
        <v>19742</v>
      </c>
      <c r="P12" s="651"/>
      <c r="Q12" s="651"/>
      <c r="R12" s="651"/>
      <c r="S12" s="651"/>
      <c r="T12" s="651"/>
      <c r="U12" s="651"/>
      <c r="V12" s="651"/>
      <c r="W12" s="651"/>
      <c r="X12" s="651"/>
      <c r="Y12" s="651"/>
      <c r="Z12" s="651"/>
      <c r="AA12" s="651">
        <v>16199</v>
      </c>
      <c r="AB12" s="651"/>
      <c r="AC12" s="651"/>
      <c r="AD12" s="651"/>
      <c r="AE12" s="651"/>
      <c r="AF12" s="651"/>
      <c r="AG12" s="651"/>
      <c r="AH12" s="651"/>
      <c r="AI12" s="651"/>
      <c r="AJ12" s="651"/>
      <c r="AK12" s="651"/>
      <c r="AL12" s="651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</row>
    <row r="13" spans="1:62" ht="12.75" customHeight="1">
      <c r="B13" s="64"/>
      <c r="C13" s="64"/>
      <c r="D13" s="64"/>
      <c r="E13" s="68"/>
      <c r="F13" s="68"/>
      <c r="G13" s="560">
        <v>22</v>
      </c>
      <c r="H13" s="560"/>
      <c r="I13" s="560"/>
      <c r="J13" s="64"/>
      <c r="K13" s="64"/>
      <c r="L13" s="64"/>
      <c r="M13" s="64"/>
      <c r="N13" s="76"/>
      <c r="O13" s="652">
        <v>19614</v>
      </c>
      <c r="P13" s="652"/>
      <c r="Q13" s="652"/>
      <c r="R13" s="652"/>
      <c r="S13" s="652"/>
      <c r="T13" s="652"/>
      <c r="U13" s="652"/>
      <c r="V13" s="652"/>
      <c r="W13" s="652"/>
      <c r="X13" s="652"/>
      <c r="Y13" s="652"/>
      <c r="Z13" s="652"/>
      <c r="AA13" s="652">
        <v>16263</v>
      </c>
      <c r="AB13" s="652"/>
      <c r="AC13" s="652"/>
      <c r="AD13" s="652"/>
      <c r="AE13" s="652"/>
      <c r="AF13" s="652"/>
      <c r="AG13" s="652"/>
      <c r="AH13" s="652"/>
      <c r="AI13" s="652"/>
      <c r="AJ13" s="652"/>
      <c r="AK13" s="652"/>
      <c r="AL13" s="652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</row>
    <row r="14" spans="1:62" ht="12.75" customHeight="1">
      <c r="B14" s="64"/>
      <c r="C14" s="64"/>
      <c r="D14" s="64"/>
      <c r="E14" s="68"/>
      <c r="F14" s="68"/>
      <c r="G14" s="560">
        <v>23</v>
      </c>
      <c r="H14" s="560"/>
      <c r="I14" s="560"/>
      <c r="J14" s="64"/>
      <c r="K14" s="64"/>
      <c r="L14" s="64"/>
      <c r="M14" s="64"/>
      <c r="N14" s="76"/>
      <c r="O14" s="652">
        <v>23949.688196232553</v>
      </c>
      <c r="P14" s="652"/>
      <c r="Q14" s="652"/>
      <c r="R14" s="652"/>
      <c r="S14" s="652"/>
      <c r="T14" s="652"/>
      <c r="U14" s="652"/>
      <c r="V14" s="652"/>
      <c r="W14" s="652"/>
      <c r="X14" s="652"/>
      <c r="Y14" s="652"/>
      <c r="Z14" s="652"/>
      <c r="AA14" s="652">
        <v>20236.022672448842</v>
      </c>
      <c r="AB14" s="652"/>
      <c r="AC14" s="652"/>
      <c r="AD14" s="652"/>
      <c r="AE14" s="652"/>
      <c r="AF14" s="652"/>
      <c r="AG14" s="652"/>
      <c r="AH14" s="652"/>
      <c r="AI14" s="652"/>
      <c r="AJ14" s="652"/>
      <c r="AK14" s="652"/>
      <c r="AL14" s="652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</row>
    <row r="15" spans="1:62" ht="12.75" customHeight="1">
      <c r="B15" s="64"/>
      <c r="C15" s="64"/>
      <c r="D15" s="64"/>
      <c r="E15" s="68"/>
      <c r="F15" s="68"/>
      <c r="G15" s="582">
        <v>24</v>
      </c>
      <c r="H15" s="582"/>
      <c r="I15" s="582"/>
      <c r="J15" s="73"/>
      <c r="K15" s="73"/>
      <c r="L15" s="73"/>
      <c r="M15" s="73"/>
      <c r="N15" s="74"/>
      <c r="O15" s="653">
        <v>25439</v>
      </c>
      <c r="P15" s="653"/>
      <c r="Q15" s="653"/>
      <c r="R15" s="653"/>
      <c r="S15" s="653"/>
      <c r="T15" s="653"/>
      <c r="U15" s="653"/>
      <c r="V15" s="653"/>
      <c r="W15" s="653"/>
      <c r="X15" s="653"/>
      <c r="Y15" s="653"/>
      <c r="Z15" s="653"/>
      <c r="AA15" s="653">
        <v>21653</v>
      </c>
      <c r="AB15" s="653"/>
      <c r="AC15" s="653"/>
      <c r="AD15" s="653"/>
      <c r="AE15" s="653"/>
      <c r="AF15" s="653"/>
      <c r="AG15" s="653"/>
      <c r="AH15" s="653"/>
      <c r="AI15" s="653"/>
      <c r="AJ15" s="653"/>
      <c r="AK15" s="653"/>
      <c r="AL15" s="653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</row>
    <row r="16" spans="1:62" ht="12.75" customHeight="1">
      <c r="B16" s="69"/>
      <c r="C16" s="69"/>
      <c r="D16" s="69"/>
      <c r="E16" s="71"/>
      <c r="F16" s="71"/>
      <c r="G16" s="71"/>
      <c r="H16" s="71"/>
      <c r="I16" s="69"/>
      <c r="J16" s="69"/>
      <c r="K16" s="69"/>
      <c r="L16" s="69"/>
      <c r="M16" s="69"/>
      <c r="N16" s="70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</row>
    <row r="17" spans="2:62" ht="12" hidden="1" customHeight="1">
      <c r="B17" s="95"/>
      <c r="C17" s="576" t="s">
        <v>8</v>
      </c>
      <c r="D17" s="576"/>
      <c r="E17" s="66" t="s">
        <v>170</v>
      </c>
      <c r="F17" s="61" t="s">
        <v>210</v>
      </c>
      <c r="G17" s="68"/>
      <c r="H17" s="68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</row>
    <row r="18" spans="2:62" ht="12" customHeight="1">
      <c r="B18" s="597" t="s">
        <v>9</v>
      </c>
      <c r="C18" s="597"/>
      <c r="D18" s="597"/>
      <c r="E18" s="66" t="s">
        <v>170</v>
      </c>
      <c r="F18" s="61" t="s">
        <v>158</v>
      </c>
    </row>
    <row r="19" spans="2:62" ht="9" customHeight="1">
      <c r="B19" s="80"/>
      <c r="C19" s="80"/>
      <c r="D19" s="80"/>
      <c r="E19" s="66"/>
    </row>
    <row r="20" spans="2:62" ht="12.75" customHeight="1">
      <c r="B20" s="560" t="s">
        <v>178</v>
      </c>
      <c r="C20" s="560"/>
      <c r="D20" s="560"/>
      <c r="E20" s="560"/>
      <c r="F20" s="560"/>
      <c r="G20" s="560"/>
      <c r="H20" s="560"/>
      <c r="I20" s="560"/>
      <c r="J20" s="560"/>
      <c r="K20" s="560"/>
      <c r="L20" s="560"/>
      <c r="M20" s="560"/>
      <c r="N20" s="560"/>
      <c r="O20" s="560"/>
      <c r="P20" s="560"/>
      <c r="Q20" s="560"/>
      <c r="R20" s="560"/>
      <c r="S20" s="560"/>
      <c r="T20" s="560"/>
      <c r="U20" s="560"/>
      <c r="V20" s="560"/>
      <c r="W20" s="560"/>
      <c r="X20" s="560"/>
      <c r="Y20" s="560"/>
      <c r="Z20" s="560"/>
      <c r="AA20" s="560"/>
      <c r="AB20" s="560"/>
      <c r="AC20" s="560"/>
      <c r="AD20" s="560"/>
      <c r="AE20" s="560"/>
      <c r="AF20" s="560"/>
      <c r="AG20" s="560"/>
      <c r="AH20" s="560"/>
      <c r="AI20" s="560"/>
      <c r="AJ20" s="560"/>
      <c r="AK20" s="560"/>
      <c r="AL20" s="560"/>
      <c r="AM20" s="560"/>
      <c r="AN20" s="560"/>
      <c r="AO20" s="560"/>
      <c r="AP20" s="560"/>
      <c r="AQ20" s="560"/>
      <c r="AR20" s="560"/>
      <c r="AS20" s="560"/>
      <c r="AT20" s="560"/>
      <c r="AU20" s="560"/>
      <c r="AV20" s="560"/>
      <c r="AW20" s="560"/>
      <c r="AX20" s="560"/>
      <c r="AY20" s="560"/>
      <c r="AZ20" s="560"/>
      <c r="BA20" s="560"/>
      <c r="BB20" s="560"/>
      <c r="BC20" s="560"/>
      <c r="BD20" s="560"/>
      <c r="BE20" s="560"/>
      <c r="BF20" s="560"/>
      <c r="BG20" s="560"/>
      <c r="BH20" s="560"/>
      <c r="BI20" s="560"/>
      <c r="BJ20" s="560"/>
    </row>
    <row r="21" spans="2:62" ht="8.1" customHeight="1">
      <c r="B21" s="80"/>
      <c r="C21" s="80"/>
      <c r="D21" s="80"/>
      <c r="E21" s="66"/>
    </row>
    <row r="22" spans="2:62" ht="15" customHeight="1">
      <c r="B22" s="584" t="s">
        <v>1</v>
      </c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5"/>
      <c r="O22" s="561" t="s">
        <v>167</v>
      </c>
      <c r="P22" s="561"/>
      <c r="Q22" s="561"/>
      <c r="R22" s="561"/>
      <c r="S22" s="561"/>
      <c r="T22" s="561"/>
      <c r="U22" s="561"/>
      <c r="V22" s="561"/>
      <c r="W22" s="561"/>
      <c r="X22" s="561"/>
      <c r="Y22" s="561"/>
      <c r="Z22" s="561"/>
      <c r="AA22" s="561"/>
      <c r="AB22" s="561"/>
      <c r="AC22" s="561"/>
      <c r="AD22" s="561"/>
      <c r="AE22" s="561"/>
      <c r="AF22" s="561"/>
      <c r="AG22" s="561"/>
      <c r="AH22" s="561"/>
      <c r="AI22" s="561"/>
      <c r="AJ22" s="561"/>
      <c r="AK22" s="561"/>
      <c r="AL22" s="561"/>
      <c r="AM22" s="561" t="s">
        <v>166</v>
      </c>
      <c r="AN22" s="561"/>
      <c r="AO22" s="561"/>
      <c r="AP22" s="561"/>
      <c r="AQ22" s="561"/>
      <c r="AR22" s="561"/>
      <c r="AS22" s="561"/>
      <c r="AT22" s="561"/>
      <c r="AU22" s="561"/>
      <c r="AV22" s="561"/>
      <c r="AW22" s="561"/>
      <c r="AX22" s="561"/>
      <c r="AY22" s="561"/>
      <c r="AZ22" s="561"/>
      <c r="BA22" s="561"/>
      <c r="BB22" s="561"/>
      <c r="BC22" s="561"/>
      <c r="BD22" s="561"/>
      <c r="BE22" s="561"/>
      <c r="BF22" s="561"/>
      <c r="BG22" s="561"/>
      <c r="BH22" s="561"/>
      <c r="BI22" s="561"/>
      <c r="BJ22" s="579"/>
    </row>
    <row r="23" spans="2:62" ht="15" customHeight="1">
      <c r="B23" s="586"/>
      <c r="C23" s="587"/>
      <c r="D23" s="587"/>
      <c r="E23" s="587"/>
      <c r="F23" s="587"/>
      <c r="G23" s="587"/>
      <c r="H23" s="587"/>
      <c r="I23" s="587"/>
      <c r="J23" s="587"/>
      <c r="K23" s="587"/>
      <c r="L23" s="587"/>
      <c r="M23" s="587"/>
      <c r="N23" s="587"/>
      <c r="O23" s="562" t="s">
        <v>165</v>
      </c>
      <c r="P23" s="562"/>
      <c r="Q23" s="562"/>
      <c r="R23" s="562"/>
      <c r="S23" s="562"/>
      <c r="T23" s="562"/>
      <c r="U23" s="562"/>
      <c r="V23" s="562"/>
      <c r="W23" s="562"/>
      <c r="X23" s="562"/>
      <c r="Y23" s="562"/>
      <c r="Z23" s="562"/>
      <c r="AA23" s="562" t="s">
        <v>164</v>
      </c>
      <c r="AB23" s="562"/>
      <c r="AC23" s="562"/>
      <c r="AD23" s="562"/>
      <c r="AE23" s="562"/>
      <c r="AF23" s="562"/>
      <c r="AG23" s="562"/>
      <c r="AH23" s="562"/>
      <c r="AI23" s="562"/>
      <c r="AJ23" s="562"/>
      <c r="AK23" s="562"/>
      <c r="AL23" s="562"/>
      <c r="AM23" s="562" t="s">
        <v>165</v>
      </c>
      <c r="AN23" s="562"/>
      <c r="AO23" s="562"/>
      <c r="AP23" s="562"/>
      <c r="AQ23" s="562"/>
      <c r="AR23" s="562"/>
      <c r="AS23" s="562"/>
      <c r="AT23" s="562"/>
      <c r="AU23" s="562"/>
      <c r="AV23" s="562"/>
      <c r="AW23" s="562"/>
      <c r="AX23" s="562"/>
      <c r="AY23" s="562" t="s">
        <v>164</v>
      </c>
      <c r="AZ23" s="562"/>
      <c r="BA23" s="562"/>
      <c r="BB23" s="562"/>
      <c r="BC23" s="562"/>
      <c r="BD23" s="562"/>
      <c r="BE23" s="562"/>
      <c r="BF23" s="562"/>
      <c r="BG23" s="562"/>
      <c r="BH23" s="562"/>
      <c r="BI23" s="562"/>
      <c r="BJ23" s="580"/>
    </row>
    <row r="24" spans="2:62" ht="12.75" customHeight="1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4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560" t="s">
        <v>163</v>
      </c>
      <c r="Z24" s="56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560" t="s">
        <v>163</v>
      </c>
      <c r="AL24" s="56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560" t="s">
        <v>163</v>
      </c>
      <c r="AX24" s="56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560" t="s">
        <v>163</v>
      </c>
      <c r="BJ24" s="560"/>
    </row>
    <row r="25" spans="2:62" ht="9.9499999999999993" customHeight="1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1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111"/>
      <c r="AJ25" s="111"/>
      <c r="AK25" s="93"/>
      <c r="AL25" s="93"/>
      <c r="AM25" s="93"/>
      <c r="AN25" s="93"/>
      <c r="AO25" s="93"/>
      <c r="AP25" s="93"/>
      <c r="AQ25" s="93"/>
      <c r="AR25" s="111"/>
      <c r="AS25" s="111"/>
      <c r="AT25" s="93"/>
      <c r="AU25" s="93"/>
      <c r="AV25" s="93"/>
      <c r="AW25" s="93"/>
      <c r="AX25" s="93"/>
      <c r="AY25" s="93"/>
      <c r="AZ25" s="93"/>
      <c r="BA25" s="111"/>
      <c r="BB25" s="111"/>
      <c r="BC25" s="93"/>
      <c r="BD25" s="93"/>
      <c r="BE25" s="93"/>
      <c r="BF25" s="93"/>
      <c r="BG25" s="93"/>
      <c r="BH25" s="93"/>
      <c r="BI25" s="111"/>
      <c r="BJ25" s="111"/>
    </row>
    <row r="26" spans="2:62" ht="12.75" customHeight="1">
      <c r="B26" s="93"/>
      <c r="C26" s="591" t="s">
        <v>162</v>
      </c>
      <c r="D26" s="591"/>
      <c r="E26" s="591"/>
      <c r="F26" s="591"/>
      <c r="G26" s="592">
        <v>20</v>
      </c>
      <c r="H26" s="592"/>
      <c r="I26" s="592"/>
      <c r="J26" s="591" t="s">
        <v>161</v>
      </c>
      <c r="K26" s="591"/>
      <c r="L26" s="591"/>
      <c r="M26" s="591"/>
      <c r="N26" s="91"/>
      <c r="O26" s="654">
        <v>29398</v>
      </c>
      <c r="P26" s="654"/>
      <c r="Q26" s="654"/>
      <c r="R26" s="654"/>
      <c r="S26" s="654"/>
      <c r="T26" s="654"/>
      <c r="U26" s="654"/>
      <c r="V26" s="654"/>
      <c r="W26" s="654"/>
      <c r="X26" s="654"/>
      <c r="Y26" s="654"/>
      <c r="Z26" s="654"/>
      <c r="AA26" s="654">
        <v>24725</v>
      </c>
      <c r="AB26" s="654"/>
      <c r="AC26" s="654"/>
      <c r="AD26" s="654"/>
      <c r="AE26" s="654"/>
      <c r="AF26" s="654"/>
      <c r="AG26" s="654"/>
      <c r="AH26" s="654"/>
      <c r="AI26" s="654"/>
      <c r="AJ26" s="654"/>
      <c r="AK26" s="654"/>
      <c r="AL26" s="654"/>
      <c r="AM26" s="654">
        <v>18222</v>
      </c>
      <c r="AN26" s="654"/>
      <c r="AO26" s="654"/>
      <c r="AP26" s="654"/>
      <c r="AQ26" s="654"/>
      <c r="AR26" s="654"/>
      <c r="AS26" s="654"/>
      <c r="AT26" s="654"/>
      <c r="AU26" s="654"/>
      <c r="AV26" s="654"/>
      <c r="AW26" s="654"/>
      <c r="AX26" s="654"/>
      <c r="AY26" s="654">
        <v>15326</v>
      </c>
      <c r="AZ26" s="654"/>
      <c r="BA26" s="654"/>
      <c r="BB26" s="654"/>
      <c r="BC26" s="654"/>
      <c r="BD26" s="654"/>
      <c r="BE26" s="654"/>
      <c r="BF26" s="654"/>
      <c r="BG26" s="654"/>
      <c r="BH26" s="654"/>
      <c r="BI26" s="654"/>
      <c r="BJ26" s="654"/>
    </row>
    <row r="27" spans="2:62" ht="12.75" customHeight="1">
      <c r="B27" s="92"/>
      <c r="G27" s="592">
        <v>21</v>
      </c>
      <c r="H27" s="592"/>
      <c r="I27" s="592"/>
      <c r="N27" s="91"/>
      <c r="O27" s="655">
        <v>34694</v>
      </c>
      <c r="P27" s="655"/>
      <c r="Q27" s="655"/>
      <c r="R27" s="655"/>
      <c r="S27" s="655"/>
      <c r="T27" s="655"/>
      <c r="U27" s="655"/>
      <c r="V27" s="655"/>
      <c r="W27" s="655"/>
      <c r="X27" s="655"/>
      <c r="Y27" s="655"/>
      <c r="Z27" s="655"/>
      <c r="AA27" s="655">
        <v>28899</v>
      </c>
      <c r="AB27" s="655"/>
      <c r="AC27" s="655"/>
      <c r="AD27" s="655"/>
      <c r="AE27" s="655"/>
      <c r="AF27" s="655"/>
      <c r="AG27" s="655"/>
      <c r="AH27" s="655"/>
      <c r="AI27" s="655"/>
      <c r="AJ27" s="655"/>
      <c r="AK27" s="655"/>
      <c r="AL27" s="655"/>
      <c r="AM27" s="655">
        <v>21274</v>
      </c>
      <c r="AN27" s="655"/>
      <c r="AO27" s="655"/>
      <c r="AP27" s="655"/>
      <c r="AQ27" s="655"/>
      <c r="AR27" s="655"/>
      <c r="AS27" s="655"/>
      <c r="AT27" s="655"/>
      <c r="AU27" s="655"/>
      <c r="AV27" s="655"/>
      <c r="AW27" s="655"/>
      <c r="AX27" s="655"/>
      <c r="AY27" s="655">
        <v>17721</v>
      </c>
      <c r="AZ27" s="655"/>
      <c r="BA27" s="655"/>
      <c r="BB27" s="655"/>
      <c r="BC27" s="655"/>
      <c r="BD27" s="655"/>
      <c r="BE27" s="655"/>
      <c r="BF27" s="655"/>
      <c r="BG27" s="655"/>
      <c r="BH27" s="655"/>
      <c r="BI27" s="655"/>
      <c r="BJ27" s="655"/>
    </row>
    <row r="28" spans="2:62" ht="12.75" customHeight="1">
      <c r="B28" s="92"/>
      <c r="G28" s="592">
        <v>22</v>
      </c>
      <c r="H28" s="592"/>
      <c r="I28" s="592"/>
      <c r="N28" s="91"/>
      <c r="O28" s="655">
        <v>29960</v>
      </c>
      <c r="P28" s="655"/>
      <c r="Q28" s="655"/>
      <c r="R28" s="655"/>
      <c r="S28" s="655"/>
      <c r="T28" s="655"/>
      <c r="U28" s="655"/>
      <c r="V28" s="655"/>
      <c r="W28" s="655"/>
      <c r="X28" s="655"/>
      <c r="Y28" s="655"/>
      <c r="Z28" s="655"/>
      <c r="AA28" s="655">
        <v>25321</v>
      </c>
      <c r="AB28" s="655"/>
      <c r="AC28" s="655"/>
      <c r="AD28" s="655"/>
      <c r="AE28" s="655"/>
      <c r="AF28" s="655"/>
      <c r="AG28" s="655"/>
      <c r="AH28" s="655"/>
      <c r="AI28" s="655"/>
      <c r="AJ28" s="655"/>
      <c r="AK28" s="655"/>
      <c r="AL28" s="655"/>
      <c r="AM28" s="655">
        <v>18472</v>
      </c>
      <c r="AN28" s="655"/>
      <c r="AO28" s="655"/>
      <c r="AP28" s="655"/>
      <c r="AQ28" s="655"/>
      <c r="AR28" s="655"/>
      <c r="AS28" s="655"/>
      <c r="AT28" s="655"/>
      <c r="AU28" s="655"/>
      <c r="AV28" s="655"/>
      <c r="AW28" s="655"/>
      <c r="AX28" s="655"/>
      <c r="AY28" s="655">
        <v>15612</v>
      </c>
      <c r="AZ28" s="655"/>
      <c r="BA28" s="655"/>
      <c r="BB28" s="655"/>
      <c r="BC28" s="655"/>
      <c r="BD28" s="655"/>
      <c r="BE28" s="655"/>
      <c r="BF28" s="655"/>
      <c r="BG28" s="655"/>
      <c r="BH28" s="655"/>
      <c r="BI28" s="655"/>
      <c r="BJ28" s="655"/>
    </row>
    <row r="29" spans="2:62" s="72" customFormat="1" ht="12.75" customHeight="1">
      <c r="B29" s="89"/>
      <c r="C29" s="88"/>
      <c r="D29" s="88"/>
      <c r="E29" s="88"/>
      <c r="F29" s="88"/>
      <c r="G29" s="592">
        <v>23</v>
      </c>
      <c r="H29" s="592"/>
      <c r="I29" s="592"/>
      <c r="J29" s="88"/>
      <c r="K29" s="88"/>
      <c r="L29" s="88"/>
      <c r="M29" s="88"/>
      <c r="N29" s="87"/>
      <c r="O29" s="656">
        <v>32760</v>
      </c>
      <c r="P29" s="656"/>
      <c r="Q29" s="656"/>
      <c r="R29" s="656"/>
      <c r="S29" s="656"/>
      <c r="T29" s="656"/>
      <c r="U29" s="656"/>
      <c r="V29" s="656"/>
      <c r="W29" s="656"/>
      <c r="X29" s="656"/>
      <c r="Y29" s="656"/>
      <c r="Z29" s="656"/>
      <c r="AA29" s="656">
        <v>28210</v>
      </c>
      <c r="AB29" s="656"/>
      <c r="AC29" s="656"/>
      <c r="AD29" s="656"/>
      <c r="AE29" s="656"/>
      <c r="AF29" s="656"/>
      <c r="AG29" s="656"/>
      <c r="AH29" s="656"/>
      <c r="AI29" s="656"/>
      <c r="AJ29" s="656"/>
      <c r="AK29" s="656"/>
      <c r="AL29" s="656"/>
      <c r="AM29" s="656">
        <v>20269</v>
      </c>
      <c r="AN29" s="656"/>
      <c r="AO29" s="656"/>
      <c r="AP29" s="656"/>
      <c r="AQ29" s="656"/>
      <c r="AR29" s="656"/>
      <c r="AS29" s="656"/>
      <c r="AT29" s="656"/>
      <c r="AU29" s="656"/>
      <c r="AV29" s="656"/>
      <c r="AW29" s="656"/>
      <c r="AX29" s="656"/>
      <c r="AY29" s="656">
        <v>17454</v>
      </c>
      <c r="AZ29" s="656"/>
      <c r="BA29" s="656"/>
      <c r="BB29" s="656"/>
      <c r="BC29" s="656"/>
      <c r="BD29" s="656"/>
      <c r="BE29" s="656"/>
      <c r="BF29" s="656"/>
      <c r="BG29" s="656"/>
      <c r="BH29" s="656"/>
      <c r="BI29" s="656"/>
      <c r="BJ29" s="656"/>
    </row>
    <row r="30" spans="2:62" s="72" customFormat="1" ht="12.75" customHeight="1">
      <c r="B30" s="89"/>
      <c r="C30" s="88"/>
      <c r="D30" s="88"/>
      <c r="E30" s="88"/>
      <c r="F30" s="88"/>
      <c r="G30" s="649">
        <v>24</v>
      </c>
      <c r="H30" s="649"/>
      <c r="I30" s="649"/>
      <c r="J30" s="88"/>
      <c r="K30" s="88"/>
      <c r="L30" s="88"/>
      <c r="M30" s="88"/>
      <c r="N30" s="87"/>
      <c r="O30" s="650">
        <v>36341</v>
      </c>
      <c r="P30" s="650"/>
      <c r="Q30" s="650"/>
      <c r="R30" s="650"/>
      <c r="S30" s="650"/>
      <c r="T30" s="650"/>
      <c r="U30" s="650"/>
      <c r="V30" s="650"/>
      <c r="W30" s="650"/>
      <c r="X30" s="650"/>
      <c r="Y30" s="650"/>
      <c r="Z30" s="650"/>
      <c r="AA30" s="650">
        <v>31579</v>
      </c>
      <c r="AB30" s="650"/>
      <c r="AC30" s="650"/>
      <c r="AD30" s="650"/>
      <c r="AE30" s="650"/>
      <c r="AF30" s="650"/>
      <c r="AG30" s="650"/>
      <c r="AH30" s="650"/>
      <c r="AI30" s="650"/>
      <c r="AJ30" s="650"/>
      <c r="AK30" s="650"/>
      <c r="AL30" s="650"/>
      <c r="AM30" s="650">
        <v>22666</v>
      </c>
      <c r="AN30" s="650"/>
      <c r="AO30" s="650"/>
      <c r="AP30" s="650"/>
      <c r="AQ30" s="650"/>
      <c r="AR30" s="650"/>
      <c r="AS30" s="650"/>
      <c r="AT30" s="650"/>
      <c r="AU30" s="650"/>
      <c r="AV30" s="650"/>
      <c r="AW30" s="650"/>
      <c r="AX30" s="650"/>
      <c r="AY30" s="650">
        <v>19695</v>
      </c>
      <c r="AZ30" s="650"/>
      <c r="BA30" s="650"/>
      <c r="BB30" s="650"/>
      <c r="BC30" s="650"/>
      <c r="BD30" s="650"/>
      <c r="BE30" s="650"/>
      <c r="BF30" s="650"/>
      <c r="BG30" s="650"/>
      <c r="BH30" s="650"/>
      <c r="BI30" s="650"/>
      <c r="BJ30" s="650"/>
    </row>
    <row r="31" spans="2:62" ht="12.75" customHeight="1">
      <c r="B31" s="86"/>
      <c r="C31" s="85"/>
      <c r="D31" s="85"/>
      <c r="E31" s="85"/>
      <c r="F31" s="85"/>
      <c r="G31" s="82"/>
      <c r="H31" s="82"/>
      <c r="I31" s="82"/>
      <c r="J31" s="85"/>
      <c r="K31" s="85"/>
      <c r="L31" s="85"/>
      <c r="M31" s="85"/>
      <c r="N31" s="84"/>
      <c r="O31" s="83"/>
      <c r="P31" s="83"/>
      <c r="Q31" s="83"/>
      <c r="R31" s="83"/>
      <c r="S31" s="83"/>
      <c r="T31" s="83"/>
      <c r="U31" s="83"/>
      <c r="V31" s="82"/>
      <c r="W31" s="82"/>
      <c r="X31" s="82"/>
      <c r="Y31" s="82"/>
      <c r="Z31" s="82"/>
      <c r="AA31" s="82"/>
      <c r="AB31" s="82"/>
      <c r="AC31" s="81"/>
      <c r="AD31" s="81"/>
      <c r="AE31" s="81"/>
      <c r="AF31" s="81"/>
      <c r="AG31" s="81"/>
      <c r="AH31" s="81"/>
      <c r="AI31" s="81"/>
      <c r="AJ31" s="81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1"/>
      <c r="BD31" s="81"/>
      <c r="BE31" s="81"/>
      <c r="BF31" s="81"/>
      <c r="BG31" s="81"/>
      <c r="BH31" s="81"/>
      <c r="BI31" s="81"/>
      <c r="BJ31" s="81"/>
    </row>
    <row r="32" spans="2:62" ht="12.75" customHeight="1">
      <c r="B32" s="597" t="s">
        <v>9</v>
      </c>
      <c r="C32" s="597"/>
      <c r="D32" s="597"/>
      <c r="E32" s="66" t="s">
        <v>170</v>
      </c>
      <c r="F32" s="61" t="s">
        <v>158</v>
      </c>
    </row>
    <row r="33" spans="2:62" ht="11.1" customHeight="1">
      <c r="B33" s="80"/>
      <c r="C33" s="80"/>
      <c r="D33" s="80"/>
      <c r="E33" s="66"/>
    </row>
    <row r="34" spans="2:62" ht="12.95" customHeight="1">
      <c r="B34" s="560" t="s">
        <v>209</v>
      </c>
      <c r="C34" s="560"/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560"/>
      <c r="O34" s="560"/>
      <c r="P34" s="560"/>
      <c r="Q34" s="560"/>
      <c r="R34" s="560"/>
      <c r="S34" s="560"/>
      <c r="T34" s="560"/>
      <c r="U34" s="560"/>
      <c r="V34" s="560"/>
      <c r="W34" s="560"/>
      <c r="X34" s="560"/>
      <c r="Y34" s="560"/>
      <c r="Z34" s="560"/>
      <c r="AA34" s="560"/>
      <c r="AB34" s="560"/>
      <c r="AC34" s="560"/>
      <c r="AD34" s="560"/>
      <c r="AE34" s="560"/>
      <c r="AF34" s="560"/>
      <c r="AG34" s="560"/>
      <c r="AH34" s="560"/>
      <c r="AI34" s="560"/>
      <c r="AJ34" s="560"/>
      <c r="AK34" s="560"/>
      <c r="AL34" s="560"/>
      <c r="AM34" s="560"/>
      <c r="AN34" s="560"/>
      <c r="AO34" s="560"/>
      <c r="AP34" s="560"/>
      <c r="AQ34" s="560"/>
      <c r="AR34" s="560"/>
      <c r="AS34" s="560"/>
      <c r="AT34" s="560"/>
      <c r="AU34" s="560"/>
      <c r="AV34" s="560"/>
      <c r="AW34" s="560"/>
      <c r="AX34" s="560"/>
      <c r="AY34" s="560"/>
      <c r="AZ34" s="560"/>
      <c r="BA34" s="560"/>
      <c r="BB34" s="560"/>
      <c r="BC34" s="560"/>
      <c r="BD34" s="560"/>
      <c r="BE34" s="560"/>
      <c r="BF34" s="560"/>
      <c r="BG34" s="560"/>
      <c r="BH34" s="560"/>
      <c r="BI34" s="560"/>
      <c r="BJ34" s="560"/>
    </row>
    <row r="35" spans="2:62" ht="8.1" customHeight="1">
      <c r="B35" s="103"/>
      <c r="C35" s="103"/>
      <c r="D35" s="103"/>
      <c r="E35" s="71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</row>
    <row r="36" spans="2:62" ht="15" customHeight="1">
      <c r="B36" s="565" t="s">
        <v>1</v>
      </c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 t="s">
        <v>202</v>
      </c>
      <c r="P36" s="561"/>
      <c r="Q36" s="561"/>
      <c r="R36" s="561"/>
      <c r="S36" s="561"/>
      <c r="T36" s="561"/>
      <c r="U36" s="561"/>
      <c r="V36" s="561" t="s">
        <v>208</v>
      </c>
      <c r="W36" s="561"/>
      <c r="X36" s="561"/>
      <c r="Y36" s="561"/>
      <c r="Z36" s="561"/>
      <c r="AA36" s="561"/>
      <c r="AB36" s="561"/>
      <c r="AC36" s="561" t="s">
        <v>207</v>
      </c>
      <c r="AD36" s="561"/>
      <c r="AE36" s="561"/>
      <c r="AF36" s="561"/>
      <c r="AG36" s="561"/>
      <c r="AH36" s="561"/>
      <c r="AI36" s="561"/>
      <c r="AJ36" s="561" t="s">
        <v>206</v>
      </c>
      <c r="AK36" s="561"/>
      <c r="AL36" s="561"/>
      <c r="AM36" s="561"/>
      <c r="AN36" s="561"/>
      <c r="AO36" s="561"/>
      <c r="AP36" s="561"/>
      <c r="AQ36" s="561" t="s">
        <v>205</v>
      </c>
      <c r="AR36" s="561"/>
      <c r="AS36" s="561"/>
      <c r="AT36" s="561"/>
      <c r="AU36" s="561"/>
      <c r="AV36" s="561"/>
      <c r="AW36" s="561"/>
      <c r="AX36" s="657" t="s">
        <v>204</v>
      </c>
      <c r="AY36" s="657"/>
      <c r="AZ36" s="657"/>
      <c r="BA36" s="657"/>
      <c r="BB36" s="657"/>
      <c r="BC36" s="657"/>
      <c r="BD36" s="657"/>
      <c r="BE36" s="561" t="s">
        <v>196</v>
      </c>
      <c r="BF36" s="561"/>
      <c r="BG36" s="561"/>
      <c r="BH36" s="561"/>
      <c r="BI36" s="561"/>
      <c r="BJ36" s="579"/>
    </row>
    <row r="37" spans="2:62" ht="12.95" customHeight="1">
      <c r="B37" s="64"/>
      <c r="C37" s="68"/>
      <c r="D37" s="68"/>
      <c r="E37" s="68"/>
      <c r="F37" s="68"/>
      <c r="G37" s="64"/>
      <c r="H37" s="64"/>
      <c r="I37" s="64"/>
      <c r="J37" s="64"/>
      <c r="K37" s="64"/>
      <c r="L37" s="64"/>
      <c r="M37" s="64"/>
      <c r="N37" s="78"/>
      <c r="O37" s="64"/>
      <c r="P37" s="64"/>
      <c r="Q37" s="64"/>
      <c r="R37" s="64"/>
      <c r="S37" s="64"/>
      <c r="T37" s="64"/>
      <c r="U37" s="64"/>
      <c r="V37" s="64"/>
    </row>
    <row r="38" spans="2:62" ht="12.95" customHeight="1">
      <c r="C38" s="581" t="s">
        <v>162</v>
      </c>
      <c r="D38" s="581"/>
      <c r="E38" s="581"/>
      <c r="F38" s="581"/>
      <c r="G38" s="560">
        <v>20</v>
      </c>
      <c r="H38" s="560"/>
      <c r="I38" s="560"/>
      <c r="J38" s="581" t="s">
        <v>161</v>
      </c>
      <c r="K38" s="581"/>
      <c r="L38" s="581"/>
      <c r="M38" s="581"/>
      <c r="N38" s="76"/>
      <c r="O38" s="564">
        <f>SUM(V38:BJ38)</f>
        <v>38466</v>
      </c>
      <c r="P38" s="564"/>
      <c r="Q38" s="564"/>
      <c r="R38" s="564"/>
      <c r="S38" s="564"/>
      <c r="T38" s="564"/>
      <c r="U38" s="564"/>
      <c r="V38" s="595">
        <v>12449</v>
      </c>
      <c r="W38" s="595"/>
      <c r="X38" s="595"/>
      <c r="Y38" s="595"/>
      <c r="Z38" s="595"/>
      <c r="AA38" s="595"/>
      <c r="AB38" s="595"/>
      <c r="AC38" s="595">
        <v>22184</v>
      </c>
      <c r="AD38" s="595"/>
      <c r="AE38" s="595"/>
      <c r="AF38" s="595"/>
      <c r="AG38" s="595"/>
      <c r="AH38" s="595"/>
      <c r="AI38" s="595"/>
      <c r="AJ38" s="595">
        <v>354</v>
      </c>
      <c r="AK38" s="595"/>
      <c r="AL38" s="595"/>
      <c r="AM38" s="595"/>
      <c r="AN38" s="595"/>
      <c r="AO38" s="595"/>
      <c r="AP38" s="595"/>
      <c r="AQ38" s="595">
        <v>1094</v>
      </c>
      <c r="AR38" s="595"/>
      <c r="AS38" s="595"/>
      <c r="AT38" s="595"/>
      <c r="AU38" s="595"/>
      <c r="AV38" s="595"/>
      <c r="AW38" s="595"/>
      <c r="AX38" s="651">
        <v>32</v>
      </c>
      <c r="AY38" s="651"/>
      <c r="AZ38" s="651"/>
      <c r="BA38" s="651"/>
      <c r="BB38" s="651"/>
      <c r="BC38" s="651"/>
      <c r="BD38" s="651"/>
      <c r="BE38" s="595">
        <v>2353</v>
      </c>
      <c r="BF38" s="595"/>
      <c r="BG38" s="595"/>
      <c r="BH38" s="595"/>
      <c r="BI38" s="595"/>
      <c r="BJ38" s="595"/>
    </row>
    <row r="39" spans="2:62" s="72" customFormat="1" ht="12.95" customHeight="1">
      <c r="B39" s="64"/>
      <c r="C39" s="64"/>
      <c r="D39" s="64"/>
      <c r="E39" s="68"/>
      <c r="F39" s="68"/>
      <c r="G39" s="560">
        <v>21</v>
      </c>
      <c r="H39" s="560"/>
      <c r="I39" s="560"/>
      <c r="J39" s="64"/>
      <c r="K39" s="64"/>
      <c r="L39" s="64"/>
      <c r="M39" s="64"/>
      <c r="N39" s="76"/>
      <c r="O39" s="564">
        <f>SUM(V39:BJ39)</f>
        <v>37606</v>
      </c>
      <c r="P39" s="564"/>
      <c r="Q39" s="564"/>
      <c r="R39" s="564"/>
      <c r="S39" s="564"/>
      <c r="T39" s="564"/>
      <c r="U39" s="564"/>
      <c r="V39" s="595">
        <v>12705</v>
      </c>
      <c r="W39" s="595"/>
      <c r="X39" s="595"/>
      <c r="Y39" s="595"/>
      <c r="Z39" s="595"/>
      <c r="AA39" s="595"/>
      <c r="AB39" s="595"/>
      <c r="AC39" s="595">
        <v>21432</v>
      </c>
      <c r="AD39" s="595"/>
      <c r="AE39" s="595"/>
      <c r="AF39" s="595"/>
      <c r="AG39" s="595"/>
      <c r="AH39" s="595"/>
      <c r="AI39" s="595"/>
      <c r="AJ39" s="595">
        <v>391</v>
      </c>
      <c r="AK39" s="595"/>
      <c r="AL39" s="595"/>
      <c r="AM39" s="595"/>
      <c r="AN39" s="595"/>
      <c r="AO39" s="595"/>
      <c r="AP39" s="595"/>
      <c r="AQ39" s="595">
        <v>1017</v>
      </c>
      <c r="AR39" s="595"/>
      <c r="AS39" s="595"/>
      <c r="AT39" s="595"/>
      <c r="AU39" s="595"/>
      <c r="AV39" s="595"/>
      <c r="AW39" s="595"/>
      <c r="AX39" s="595">
        <v>10</v>
      </c>
      <c r="AY39" s="595"/>
      <c r="AZ39" s="595"/>
      <c r="BA39" s="595"/>
      <c r="BB39" s="595"/>
      <c r="BC39" s="595"/>
      <c r="BD39" s="595"/>
      <c r="BE39" s="595">
        <v>2051</v>
      </c>
      <c r="BF39" s="595"/>
      <c r="BG39" s="595"/>
      <c r="BH39" s="595"/>
      <c r="BI39" s="595"/>
      <c r="BJ39" s="595"/>
    </row>
    <row r="40" spans="2:62" ht="12.95" customHeight="1">
      <c r="B40" s="64"/>
      <c r="C40" s="64"/>
      <c r="D40" s="64"/>
      <c r="E40" s="68"/>
      <c r="F40" s="68"/>
      <c r="G40" s="560">
        <v>22</v>
      </c>
      <c r="H40" s="560"/>
      <c r="I40" s="560"/>
      <c r="J40" s="64"/>
      <c r="K40" s="64"/>
      <c r="L40" s="64"/>
      <c r="M40" s="64"/>
      <c r="N40" s="76"/>
      <c r="O40" s="564">
        <f>SUM(V40:BJ40)</f>
        <v>36980</v>
      </c>
      <c r="P40" s="564"/>
      <c r="Q40" s="564"/>
      <c r="R40" s="564"/>
      <c r="S40" s="564"/>
      <c r="T40" s="564"/>
      <c r="U40" s="564"/>
      <c r="V40" s="564">
        <v>11922</v>
      </c>
      <c r="W40" s="564"/>
      <c r="X40" s="564"/>
      <c r="Y40" s="564"/>
      <c r="Z40" s="564"/>
      <c r="AA40" s="564"/>
      <c r="AB40" s="564"/>
      <c r="AC40" s="564">
        <v>21683</v>
      </c>
      <c r="AD40" s="564"/>
      <c r="AE40" s="564"/>
      <c r="AF40" s="564"/>
      <c r="AG40" s="564"/>
      <c r="AH40" s="564"/>
      <c r="AI40" s="564"/>
      <c r="AJ40" s="564">
        <v>333</v>
      </c>
      <c r="AK40" s="564"/>
      <c r="AL40" s="564"/>
      <c r="AM40" s="564"/>
      <c r="AN40" s="564"/>
      <c r="AO40" s="564"/>
      <c r="AP40" s="564"/>
      <c r="AQ40" s="564">
        <v>962</v>
      </c>
      <c r="AR40" s="564"/>
      <c r="AS40" s="564"/>
      <c r="AT40" s="564"/>
      <c r="AU40" s="564"/>
      <c r="AV40" s="564"/>
      <c r="AW40" s="564"/>
      <c r="AX40" s="652">
        <v>0</v>
      </c>
      <c r="AY40" s="652"/>
      <c r="AZ40" s="652"/>
      <c r="BA40" s="652"/>
      <c r="BB40" s="652"/>
      <c r="BC40" s="652"/>
      <c r="BD40" s="652"/>
      <c r="BE40" s="564">
        <v>2080</v>
      </c>
      <c r="BF40" s="564"/>
      <c r="BG40" s="564"/>
      <c r="BH40" s="564"/>
      <c r="BI40" s="564"/>
      <c r="BJ40" s="564"/>
    </row>
    <row r="41" spans="2:62" s="109" customFormat="1" ht="12.95" customHeight="1">
      <c r="B41" s="96"/>
      <c r="C41" s="96"/>
      <c r="D41" s="96"/>
      <c r="E41" s="96"/>
      <c r="F41" s="96"/>
      <c r="G41" s="560">
        <v>23</v>
      </c>
      <c r="H41" s="560"/>
      <c r="I41" s="560"/>
      <c r="J41" s="96"/>
      <c r="K41" s="96"/>
      <c r="L41" s="96"/>
      <c r="M41" s="96"/>
      <c r="N41" s="110"/>
      <c r="O41" s="564">
        <f>SUM(V41:BJ41)</f>
        <v>36140</v>
      </c>
      <c r="P41" s="564"/>
      <c r="Q41" s="564"/>
      <c r="R41" s="564"/>
      <c r="S41" s="564"/>
      <c r="T41" s="564"/>
      <c r="U41" s="564"/>
      <c r="V41" s="564">
        <v>11064</v>
      </c>
      <c r="W41" s="564"/>
      <c r="X41" s="564"/>
      <c r="Y41" s="564"/>
      <c r="Z41" s="564"/>
      <c r="AA41" s="564"/>
      <c r="AB41" s="564"/>
      <c r="AC41" s="564">
        <v>21096</v>
      </c>
      <c r="AD41" s="564"/>
      <c r="AE41" s="564"/>
      <c r="AF41" s="564"/>
      <c r="AG41" s="564"/>
      <c r="AH41" s="564"/>
      <c r="AI41" s="564"/>
      <c r="AJ41" s="564">
        <v>455</v>
      </c>
      <c r="AK41" s="564"/>
      <c r="AL41" s="564"/>
      <c r="AM41" s="564"/>
      <c r="AN41" s="564"/>
      <c r="AO41" s="564"/>
      <c r="AP41" s="564"/>
      <c r="AQ41" s="564">
        <v>927</v>
      </c>
      <c r="AR41" s="564"/>
      <c r="AS41" s="564"/>
      <c r="AT41" s="564"/>
      <c r="AU41" s="564"/>
      <c r="AV41" s="564"/>
      <c r="AW41" s="564"/>
      <c r="AX41" s="651">
        <v>2</v>
      </c>
      <c r="AY41" s="651"/>
      <c r="AZ41" s="651"/>
      <c r="BA41" s="651"/>
      <c r="BB41" s="651"/>
      <c r="BC41" s="651"/>
      <c r="BD41" s="651"/>
      <c r="BE41" s="564">
        <v>2596</v>
      </c>
      <c r="BF41" s="564"/>
      <c r="BG41" s="564"/>
      <c r="BH41" s="564"/>
      <c r="BI41" s="564"/>
      <c r="BJ41" s="564"/>
    </row>
    <row r="42" spans="2:62" s="106" customFormat="1" ht="12.95" customHeight="1">
      <c r="B42" s="108"/>
      <c r="C42" s="108"/>
      <c r="D42" s="108"/>
      <c r="E42" s="108"/>
      <c r="F42" s="108"/>
      <c r="G42" s="582">
        <v>24</v>
      </c>
      <c r="H42" s="582"/>
      <c r="I42" s="582"/>
      <c r="J42" s="108"/>
      <c r="K42" s="108"/>
      <c r="L42" s="108"/>
      <c r="M42" s="108"/>
      <c r="N42" s="107"/>
      <c r="O42" s="653">
        <f>SUM(V42:BJ42)</f>
        <v>34832</v>
      </c>
      <c r="P42" s="653"/>
      <c r="Q42" s="653"/>
      <c r="R42" s="653"/>
      <c r="S42" s="653"/>
      <c r="T42" s="653"/>
      <c r="U42" s="653"/>
      <c r="V42" s="653">
        <v>11181</v>
      </c>
      <c r="W42" s="653"/>
      <c r="X42" s="653"/>
      <c r="Y42" s="653"/>
      <c r="Z42" s="653"/>
      <c r="AA42" s="653"/>
      <c r="AB42" s="653"/>
      <c r="AC42" s="653">
        <v>20208</v>
      </c>
      <c r="AD42" s="653"/>
      <c r="AE42" s="653"/>
      <c r="AF42" s="653"/>
      <c r="AG42" s="653"/>
      <c r="AH42" s="653"/>
      <c r="AI42" s="653"/>
      <c r="AJ42" s="653">
        <v>524</v>
      </c>
      <c r="AK42" s="653"/>
      <c r="AL42" s="653"/>
      <c r="AM42" s="653"/>
      <c r="AN42" s="653"/>
      <c r="AO42" s="653"/>
      <c r="AP42" s="653"/>
      <c r="AQ42" s="653">
        <v>884</v>
      </c>
      <c r="AR42" s="653"/>
      <c r="AS42" s="653"/>
      <c r="AT42" s="653"/>
      <c r="AU42" s="653"/>
      <c r="AV42" s="653"/>
      <c r="AW42" s="653"/>
      <c r="AX42" s="653">
        <v>1</v>
      </c>
      <c r="AY42" s="653"/>
      <c r="AZ42" s="653"/>
      <c r="BA42" s="653"/>
      <c r="BB42" s="653"/>
      <c r="BC42" s="653"/>
      <c r="BD42" s="653"/>
      <c r="BE42" s="653">
        <v>2034</v>
      </c>
      <c r="BF42" s="653"/>
      <c r="BG42" s="653"/>
      <c r="BH42" s="653"/>
      <c r="BI42" s="653"/>
      <c r="BJ42" s="653"/>
    </row>
    <row r="43" spans="2:62" ht="12.95" customHeight="1">
      <c r="B43" s="69"/>
      <c r="C43" s="69"/>
      <c r="D43" s="69"/>
      <c r="E43" s="71"/>
      <c r="F43" s="71"/>
      <c r="G43" s="71"/>
      <c r="H43" s="71"/>
      <c r="I43" s="69"/>
      <c r="J43" s="69"/>
      <c r="K43" s="69"/>
      <c r="L43" s="69"/>
      <c r="M43" s="69"/>
      <c r="N43" s="70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</row>
    <row r="44" spans="2:62" ht="12" customHeight="1">
      <c r="B44" s="597" t="s">
        <v>9</v>
      </c>
      <c r="C44" s="597"/>
      <c r="D44" s="597"/>
      <c r="E44" s="66" t="s">
        <v>170</v>
      </c>
      <c r="F44" s="61" t="s">
        <v>158</v>
      </c>
    </row>
    <row r="45" spans="2:62" ht="11.1" customHeight="1">
      <c r="B45" s="80"/>
      <c r="C45" s="80"/>
      <c r="D45" s="80"/>
      <c r="E45" s="66"/>
    </row>
    <row r="46" spans="2:62" ht="12.95" customHeight="1">
      <c r="B46" s="560" t="s">
        <v>203</v>
      </c>
      <c r="C46" s="560"/>
      <c r="D46" s="560"/>
      <c r="E46" s="560"/>
      <c r="F46" s="560"/>
      <c r="G46" s="560"/>
      <c r="H46" s="560"/>
      <c r="I46" s="560"/>
      <c r="J46" s="560"/>
      <c r="K46" s="560"/>
      <c r="L46" s="560"/>
      <c r="M46" s="560"/>
      <c r="N46" s="560"/>
      <c r="O46" s="560"/>
      <c r="P46" s="560"/>
      <c r="Q46" s="560"/>
      <c r="R46" s="560"/>
      <c r="S46" s="560"/>
      <c r="T46" s="560"/>
      <c r="U46" s="560"/>
      <c r="V46" s="560"/>
      <c r="W46" s="560"/>
      <c r="X46" s="560"/>
      <c r="Y46" s="560"/>
      <c r="Z46" s="560"/>
      <c r="AA46" s="560"/>
      <c r="AB46" s="560"/>
      <c r="AC46" s="560"/>
      <c r="AD46" s="560"/>
      <c r="AE46" s="560"/>
      <c r="AF46" s="560"/>
      <c r="AG46" s="560"/>
      <c r="AH46" s="560"/>
      <c r="AI46" s="560"/>
      <c r="AJ46" s="560"/>
      <c r="AK46" s="560"/>
      <c r="AL46" s="560"/>
      <c r="AM46" s="560"/>
      <c r="AN46" s="560"/>
      <c r="AO46" s="560"/>
      <c r="AP46" s="560"/>
      <c r="AQ46" s="560"/>
      <c r="AR46" s="560"/>
      <c r="AS46" s="560"/>
      <c r="AT46" s="560"/>
      <c r="AU46" s="560"/>
      <c r="AV46" s="560"/>
      <c r="AW46" s="560"/>
      <c r="AX46" s="560"/>
      <c r="AY46" s="560"/>
      <c r="AZ46" s="560"/>
      <c r="BA46" s="560"/>
      <c r="BB46" s="560"/>
      <c r="BC46" s="560"/>
      <c r="BD46" s="560"/>
      <c r="BE46" s="560"/>
      <c r="BF46" s="560"/>
      <c r="BG46" s="560"/>
      <c r="BH46" s="560"/>
      <c r="BI46" s="560"/>
      <c r="BJ46" s="560"/>
    </row>
    <row r="47" spans="2:62" ht="8.1" customHeight="1">
      <c r="B47" s="103"/>
      <c r="C47" s="103"/>
      <c r="D47" s="103"/>
      <c r="E47" s="71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</row>
    <row r="48" spans="2:62" ht="15" customHeight="1">
      <c r="B48" s="565" t="s">
        <v>1</v>
      </c>
      <c r="C48" s="561"/>
      <c r="D48" s="561"/>
      <c r="E48" s="561"/>
      <c r="F48" s="561"/>
      <c r="G48" s="561"/>
      <c r="H48" s="561"/>
      <c r="I48" s="561"/>
      <c r="J48" s="561"/>
      <c r="K48" s="561"/>
      <c r="L48" s="561"/>
      <c r="M48" s="561"/>
      <c r="N48" s="561"/>
      <c r="O48" s="561" t="s">
        <v>202</v>
      </c>
      <c r="P48" s="561"/>
      <c r="Q48" s="561"/>
      <c r="R48" s="561"/>
      <c r="S48" s="561"/>
      <c r="T48" s="561"/>
      <c r="U48" s="561"/>
      <c r="V48" s="561" t="s">
        <v>201</v>
      </c>
      <c r="W48" s="561"/>
      <c r="X48" s="561"/>
      <c r="Y48" s="561"/>
      <c r="Z48" s="561"/>
      <c r="AA48" s="561"/>
      <c r="AB48" s="561"/>
      <c r="AC48" s="561" t="s">
        <v>200</v>
      </c>
      <c r="AD48" s="561"/>
      <c r="AE48" s="561"/>
      <c r="AF48" s="561"/>
      <c r="AG48" s="561"/>
      <c r="AH48" s="561"/>
      <c r="AI48" s="561"/>
      <c r="AJ48" s="561" t="s">
        <v>199</v>
      </c>
      <c r="AK48" s="561"/>
      <c r="AL48" s="561"/>
      <c r="AM48" s="561"/>
      <c r="AN48" s="561"/>
      <c r="AO48" s="561"/>
      <c r="AP48" s="561"/>
      <c r="AQ48" s="561" t="s">
        <v>198</v>
      </c>
      <c r="AR48" s="561"/>
      <c r="AS48" s="561"/>
      <c r="AT48" s="561"/>
      <c r="AU48" s="561"/>
      <c r="AV48" s="561"/>
      <c r="AW48" s="561"/>
      <c r="AX48" s="657" t="s">
        <v>197</v>
      </c>
      <c r="AY48" s="657"/>
      <c r="AZ48" s="657"/>
      <c r="BA48" s="657"/>
      <c r="BB48" s="657"/>
      <c r="BC48" s="657"/>
      <c r="BD48" s="657"/>
      <c r="BE48" s="561" t="s">
        <v>196</v>
      </c>
      <c r="BF48" s="561"/>
      <c r="BG48" s="561"/>
      <c r="BH48" s="561"/>
      <c r="BI48" s="561"/>
      <c r="BJ48" s="579"/>
    </row>
    <row r="49" spans="2:62" ht="12.95" customHeight="1">
      <c r="B49" s="64"/>
      <c r="C49" s="68"/>
      <c r="D49" s="68"/>
      <c r="E49" s="68"/>
      <c r="F49" s="68"/>
      <c r="G49" s="64"/>
      <c r="H49" s="64"/>
      <c r="I49" s="64"/>
      <c r="J49" s="64"/>
      <c r="K49" s="64"/>
      <c r="L49" s="64"/>
      <c r="M49" s="64"/>
      <c r="N49" s="78"/>
      <c r="O49" s="64"/>
      <c r="P49" s="64"/>
      <c r="Q49" s="64"/>
      <c r="R49" s="64"/>
      <c r="S49" s="64"/>
      <c r="T49" s="64"/>
      <c r="U49" s="64"/>
      <c r="V49" s="64"/>
    </row>
    <row r="50" spans="2:62" ht="12.95" customHeight="1">
      <c r="C50" s="581" t="s">
        <v>162</v>
      </c>
      <c r="D50" s="581"/>
      <c r="E50" s="581"/>
      <c r="F50" s="581"/>
      <c r="G50" s="560">
        <v>20</v>
      </c>
      <c r="H50" s="560"/>
      <c r="I50" s="560"/>
      <c r="J50" s="581" t="s">
        <v>161</v>
      </c>
      <c r="K50" s="581"/>
      <c r="L50" s="581"/>
      <c r="M50" s="581"/>
      <c r="N50" s="76"/>
      <c r="O50" s="564">
        <f>SUM(V50:BJ50)</f>
        <v>90504</v>
      </c>
      <c r="P50" s="564"/>
      <c r="Q50" s="564"/>
      <c r="R50" s="564"/>
      <c r="S50" s="564"/>
      <c r="T50" s="564"/>
      <c r="U50" s="564"/>
      <c r="V50" s="564">
        <v>11694</v>
      </c>
      <c r="W50" s="564"/>
      <c r="X50" s="564"/>
      <c r="Y50" s="564"/>
      <c r="Z50" s="564"/>
      <c r="AA50" s="564"/>
      <c r="AB50" s="564"/>
      <c r="AC50" s="564">
        <v>18751</v>
      </c>
      <c r="AD50" s="564"/>
      <c r="AE50" s="564"/>
      <c r="AF50" s="564"/>
      <c r="AG50" s="564"/>
      <c r="AH50" s="564"/>
      <c r="AI50" s="564"/>
      <c r="AJ50" s="564">
        <v>1196</v>
      </c>
      <c r="AK50" s="564"/>
      <c r="AL50" s="564"/>
      <c r="AM50" s="564"/>
      <c r="AN50" s="564"/>
      <c r="AO50" s="564"/>
      <c r="AP50" s="564"/>
      <c r="AQ50" s="564">
        <v>1017</v>
      </c>
      <c r="AR50" s="564"/>
      <c r="AS50" s="564"/>
      <c r="AT50" s="564"/>
      <c r="AU50" s="564"/>
      <c r="AV50" s="564"/>
      <c r="AW50" s="564"/>
      <c r="AX50" s="651">
        <v>55181</v>
      </c>
      <c r="AY50" s="651"/>
      <c r="AZ50" s="651"/>
      <c r="BA50" s="651"/>
      <c r="BB50" s="651"/>
      <c r="BC50" s="651"/>
      <c r="BD50" s="651"/>
      <c r="BE50" s="564">
        <v>2665</v>
      </c>
      <c r="BF50" s="564"/>
      <c r="BG50" s="564"/>
      <c r="BH50" s="564"/>
      <c r="BI50" s="564"/>
      <c r="BJ50" s="564"/>
    </row>
    <row r="51" spans="2:62" s="72" customFormat="1" ht="12.95" customHeight="1">
      <c r="B51" s="64"/>
      <c r="C51" s="64"/>
      <c r="D51" s="64"/>
      <c r="E51" s="68"/>
      <c r="F51" s="68"/>
      <c r="G51" s="560">
        <v>21</v>
      </c>
      <c r="H51" s="560"/>
      <c r="I51" s="560"/>
      <c r="J51" s="64"/>
      <c r="K51" s="64"/>
      <c r="L51" s="64"/>
      <c r="M51" s="64"/>
      <c r="N51" s="76"/>
      <c r="O51" s="564">
        <f>SUM(V51:BJ51)</f>
        <v>39584</v>
      </c>
      <c r="P51" s="564"/>
      <c r="Q51" s="564"/>
      <c r="R51" s="564"/>
      <c r="S51" s="564"/>
      <c r="T51" s="564"/>
      <c r="U51" s="564"/>
      <c r="V51" s="564">
        <v>12428</v>
      </c>
      <c r="W51" s="564"/>
      <c r="X51" s="564"/>
      <c r="Y51" s="564"/>
      <c r="Z51" s="564"/>
      <c r="AA51" s="564"/>
      <c r="AB51" s="564"/>
      <c r="AC51" s="564">
        <v>16640</v>
      </c>
      <c r="AD51" s="564"/>
      <c r="AE51" s="564"/>
      <c r="AF51" s="564"/>
      <c r="AG51" s="564"/>
      <c r="AH51" s="564"/>
      <c r="AI51" s="564"/>
      <c r="AJ51" s="564">
        <v>1737</v>
      </c>
      <c r="AK51" s="564"/>
      <c r="AL51" s="564"/>
      <c r="AM51" s="564"/>
      <c r="AN51" s="564"/>
      <c r="AO51" s="564"/>
      <c r="AP51" s="564"/>
      <c r="AQ51" s="564">
        <v>1011</v>
      </c>
      <c r="AR51" s="564"/>
      <c r="AS51" s="564"/>
      <c r="AT51" s="564"/>
      <c r="AU51" s="564"/>
      <c r="AV51" s="564"/>
      <c r="AW51" s="564"/>
      <c r="AX51" s="564">
        <v>5309</v>
      </c>
      <c r="AY51" s="564"/>
      <c r="AZ51" s="564"/>
      <c r="BA51" s="564"/>
      <c r="BB51" s="564"/>
      <c r="BC51" s="564"/>
      <c r="BD51" s="564"/>
      <c r="BE51" s="564">
        <v>2459</v>
      </c>
      <c r="BF51" s="564"/>
      <c r="BG51" s="564"/>
      <c r="BH51" s="564"/>
      <c r="BI51" s="564"/>
      <c r="BJ51" s="564"/>
    </row>
    <row r="52" spans="2:62" ht="12.95" customHeight="1">
      <c r="B52" s="64"/>
      <c r="C52" s="64"/>
      <c r="D52" s="64"/>
      <c r="E52" s="68"/>
      <c r="F52" s="68"/>
      <c r="G52" s="560">
        <v>22</v>
      </c>
      <c r="H52" s="560"/>
      <c r="I52" s="560"/>
      <c r="J52" s="64"/>
      <c r="K52" s="64"/>
      <c r="L52" s="64"/>
      <c r="M52" s="64"/>
      <c r="N52" s="76"/>
      <c r="O52" s="564">
        <f>SUM(V52:BJ52)</f>
        <v>38789</v>
      </c>
      <c r="P52" s="564"/>
      <c r="Q52" s="564"/>
      <c r="R52" s="564"/>
      <c r="S52" s="564"/>
      <c r="T52" s="564"/>
      <c r="U52" s="564"/>
      <c r="V52" s="564">
        <v>12568</v>
      </c>
      <c r="W52" s="564"/>
      <c r="X52" s="564"/>
      <c r="Y52" s="564"/>
      <c r="Z52" s="564"/>
      <c r="AA52" s="564"/>
      <c r="AB52" s="564"/>
      <c r="AC52" s="564">
        <v>15553</v>
      </c>
      <c r="AD52" s="564"/>
      <c r="AE52" s="564"/>
      <c r="AF52" s="564"/>
      <c r="AG52" s="564"/>
      <c r="AH52" s="564"/>
      <c r="AI52" s="564"/>
      <c r="AJ52" s="564">
        <v>1787</v>
      </c>
      <c r="AK52" s="564"/>
      <c r="AL52" s="564"/>
      <c r="AM52" s="564"/>
      <c r="AN52" s="564"/>
      <c r="AO52" s="564"/>
      <c r="AP52" s="564"/>
      <c r="AQ52" s="564">
        <v>973</v>
      </c>
      <c r="AR52" s="564"/>
      <c r="AS52" s="564"/>
      <c r="AT52" s="564"/>
      <c r="AU52" s="564"/>
      <c r="AV52" s="564"/>
      <c r="AW52" s="564"/>
      <c r="AX52" s="564">
        <v>5563</v>
      </c>
      <c r="AY52" s="564"/>
      <c r="AZ52" s="564"/>
      <c r="BA52" s="564"/>
      <c r="BB52" s="564"/>
      <c r="BC52" s="564"/>
      <c r="BD52" s="564"/>
      <c r="BE52" s="564">
        <v>2345</v>
      </c>
      <c r="BF52" s="564"/>
      <c r="BG52" s="564"/>
      <c r="BH52" s="564"/>
      <c r="BI52" s="564"/>
      <c r="BJ52" s="564"/>
    </row>
    <row r="53" spans="2:62" ht="12.95" customHeight="1">
      <c r="B53" s="64"/>
      <c r="C53" s="64"/>
      <c r="D53" s="64"/>
      <c r="E53" s="68"/>
      <c r="F53" s="68"/>
      <c r="G53" s="560">
        <v>23</v>
      </c>
      <c r="H53" s="560"/>
      <c r="I53" s="560"/>
      <c r="J53" s="64"/>
      <c r="K53" s="64"/>
      <c r="L53" s="64"/>
      <c r="M53" s="64"/>
      <c r="N53" s="76"/>
      <c r="O53" s="564">
        <f>SUM(V53:BJ53)</f>
        <v>40168</v>
      </c>
      <c r="P53" s="564"/>
      <c r="Q53" s="564"/>
      <c r="R53" s="564"/>
      <c r="S53" s="564"/>
      <c r="T53" s="564"/>
      <c r="U53" s="564"/>
      <c r="V53" s="564">
        <v>12354</v>
      </c>
      <c r="W53" s="564"/>
      <c r="X53" s="564"/>
      <c r="Y53" s="564"/>
      <c r="Z53" s="564"/>
      <c r="AA53" s="564"/>
      <c r="AB53" s="564"/>
      <c r="AC53" s="564">
        <v>17465</v>
      </c>
      <c r="AD53" s="564"/>
      <c r="AE53" s="564"/>
      <c r="AF53" s="564"/>
      <c r="AG53" s="564"/>
      <c r="AH53" s="564"/>
      <c r="AI53" s="564"/>
      <c r="AJ53" s="564">
        <v>1512</v>
      </c>
      <c r="AK53" s="564"/>
      <c r="AL53" s="564"/>
      <c r="AM53" s="564"/>
      <c r="AN53" s="564"/>
      <c r="AO53" s="564"/>
      <c r="AP53" s="564"/>
      <c r="AQ53" s="564">
        <v>967</v>
      </c>
      <c r="AR53" s="564"/>
      <c r="AS53" s="564"/>
      <c r="AT53" s="564"/>
      <c r="AU53" s="564"/>
      <c r="AV53" s="564"/>
      <c r="AW53" s="564"/>
      <c r="AX53" s="564">
        <v>5494</v>
      </c>
      <c r="AY53" s="564"/>
      <c r="AZ53" s="564"/>
      <c r="BA53" s="564"/>
      <c r="BB53" s="564"/>
      <c r="BC53" s="564"/>
      <c r="BD53" s="564"/>
      <c r="BE53" s="564">
        <v>2376</v>
      </c>
      <c r="BF53" s="564"/>
      <c r="BG53" s="564"/>
      <c r="BH53" s="564"/>
      <c r="BI53" s="564"/>
      <c r="BJ53" s="564"/>
    </row>
    <row r="54" spans="2:62" s="72" customFormat="1" ht="12.95" customHeight="1">
      <c r="B54" s="73"/>
      <c r="C54" s="73"/>
      <c r="D54" s="73"/>
      <c r="E54" s="75"/>
      <c r="F54" s="75"/>
      <c r="G54" s="582">
        <v>24</v>
      </c>
      <c r="H54" s="582"/>
      <c r="I54" s="582"/>
      <c r="J54" s="73"/>
      <c r="K54" s="73"/>
      <c r="L54" s="73"/>
      <c r="M54" s="73"/>
      <c r="N54" s="74"/>
      <c r="O54" s="653">
        <f>SUM(V54:BJ54)</f>
        <v>39073</v>
      </c>
      <c r="P54" s="653"/>
      <c r="Q54" s="653"/>
      <c r="R54" s="653"/>
      <c r="S54" s="653"/>
      <c r="T54" s="653"/>
      <c r="U54" s="653"/>
      <c r="V54" s="653">
        <v>11109</v>
      </c>
      <c r="W54" s="653"/>
      <c r="X54" s="653"/>
      <c r="Y54" s="653"/>
      <c r="Z54" s="653"/>
      <c r="AA54" s="653"/>
      <c r="AB54" s="653"/>
      <c r="AC54" s="653">
        <v>17510</v>
      </c>
      <c r="AD54" s="653"/>
      <c r="AE54" s="653"/>
      <c r="AF54" s="653"/>
      <c r="AG54" s="653"/>
      <c r="AH54" s="653"/>
      <c r="AI54" s="653"/>
      <c r="AJ54" s="653">
        <v>1475</v>
      </c>
      <c r="AK54" s="653"/>
      <c r="AL54" s="653"/>
      <c r="AM54" s="653"/>
      <c r="AN54" s="653"/>
      <c r="AO54" s="653"/>
      <c r="AP54" s="653"/>
      <c r="AQ54" s="653">
        <v>982</v>
      </c>
      <c r="AR54" s="653"/>
      <c r="AS54" s="653"/>
      <c r="AT54" s="653"/>
      <c r="AU54" s="653"/>
      <c r="AV54" s="653"/>
      <c r="AW54" s="653"/>
      <c r="AX54" s="653">
        <v>5477</v>
      </c>
      <c r="AY54" s="653"/>
      <c r="AZ54" s="653"/>
      <c r="BA54" s="653"/>
      <c r="BB54" s="653"/>
      <c r="BC54" s="653"/>
      <c r="BD54" s="653"/>
      <c r="BE54" s="653">
        <v>2520</v>
      </c>
      <c r="BF54" s="653"/>
      <c r="BG54" s="653"/>
      <c r="BH54" s="653"/>
      <c r="BI54" s="653"/>
      <c r="BJ54" s="653"/>
    </row>
    <row r="55" spans="2:62" ht="12.95" customHeight="1">
      <c r="B55" s="69"/>
      <c r="C55" s="69"/>
      <c r="D55" s="69"/>
      <c r="E55" s="71"/>
      <c r="F55" s="71"/>
      <c r="G55" s="71"/>
      <c r="H55" s="71"/>
      <c r="I55" s="69"/>
      <c r="J55" s="69"/>
      <c r="K55" s="69"/>
      <c r="L55" s="69"/>
      <c r="M55" s="69"/>
      <c r="N55" s="70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</row>
    <row r="56" spans="2:62" ht="12" customHeight="1">
      <c r="B56" s="597" t="s">
        <v>9</v>
      </c>
      <c r="C56" s="597"/>
      <c r="D56" s="597"/>
      <c r="E56" s="66" t="s">
        <v>159</v>
      </c>
      <c r="F56" s="61" t="s">
        <v>158</v>
      </c>
    </row>
    <row r="57" spans="2:62" ht="9" customHeight="1">
      <c r="B57" s="80"/>
      <c r="C57" s="80"/>
      <c r="D57" s="80"/>
      <c r="E57" s="66"/>
    </row>
    <row r="58" spans="2:62" ht="12.95" customHeight="1">
      <c r="B58" s="560" t="s">
        <v>195</v>
      </c>
      <c r="C58" s="560"/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0"/>
      <c r="O58" s="560"/>
      <c r="P58" s="560"/>
      <c r="Q58" s="560"/>
      <c r="R58" s="560"/>
      <c r="S58" s="560"/>
      <c r="T58" s="560"/>
      <c r="U58" s="560"/>
      <c r="V58" s="560"/>
      <c r="W58" s="560"/>
      <c r="X58" s="560"/>
      <c r="Y58" s="560"/>
      <c r="Z58" s="560"/>
      <c r="AA58" s="560"/>
      <c r="AB58" s="560"/>
      <c r="AC58" s="560"/>
      <c r="AD58" s="560"/>
      <c r="AE58" s="560"/>
      <c r="AF58" s="560"/>
      <c r="AG58" s="560"/>
      <c r="AH58" s="560"/>
      <c r="AI58" s="560"/>
      <c r="AJ58" s="560"/>
      <c r="AK58" s="560"/>
      <c r="AL58" s="560"/>
      <c r="AM58" s="560"/>
      <c r="AN58" s="560"/>
      <c r="AO58" s="560"/>
      <c r="AP58" s="560"/>
      <c r="AQ58" s="560"/>
      <c r="AR58" s="560"/>
      <c r="AS58" s="560"/>
      <c r="AT58" s="560"/>
      <c r="AU58" s="560"/>
      <c r="AV58" s="560"/>
      <c r="AW58" s="560"/>
      <c r="AX58" s="560"/>
      <c r="AY58" s="560"/>
      <c r="AZ58" s="560"/>
      <c r="BA58" s="560"/>
      <c r="BB58" s="560"/>
      <c r="BC58" s="560"/>
      <c r="BD58" s="560"/>
      <c r="BE58" s="560"/>
      <c r="BF58" s="560"/>
      <c r="BG58" s="560"/>
      <c r="BH58" s="560"/>
      <c r="BI58" s="560"/>
      <c r="BJ58" s="560"/>
    </row>
    <row r="59" spans="2:62" ht="8.1" customHeight="1">
      <c r="B59" s="69"/>
      <c r="C59" s="103"/>
      <c r="D59" s="103"/>
      <c r="E59" s="103"/>
      <c r="F59" s="71"/>
      <c r="G59" s="69"/>
      <c r="H59" s="69"/>
      <c r="I59" s="69"/>
      <c r="J59" s="69"/>
      <c r="K59" s="69"/>
      <c r="L59" s="69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</row>
    <row r="60" spans="2:62" ht="15" customHeight="1">
      <c r="B60" s="95"/>
      <c r="C60" s="170"/>
      <c r="D60" s="170"/>
      <c r="E60" s="170"/>
      <c r="F60" s="168"/>
      <c r="G60" s="95"/>
      <c r="H60" s="95"/>
      <c r="I60" s="95"/>
      <c r="J60" s="95"/>
      <c r="K60" s="95"/>
      <c r="L60" s="95"/>
      <c r="M60" s="616" t="s">
        <v>194</v>
      </c>
      <c r="N60" s="617"/>
      <c r="O60" s="617"/>
      <c r="P60" s="617"/>
      <c r="Q60" s="617"/>
      <c r="R60" s="617"/>
      <c r="S60" s="617"/>
      <c r="T60" s="618"/>
      <c r="U60" s="625" t="s">
        <v>401</v>
      </c>
      <c r="V60" s="626"/>
      <c r="W60" s="626"/>
      <c r="X60" s="626"/>
      <c r="Y60" s="627"/>
      <c r="Z60" s="616" t="s">
        <v>402</v>
      </c>
      <c r="AA60" s="617"/>
      <c r="AB60" s="617"/>
      <c r="AC60" s="617"/>
      <c r="AD60" s="617"/>
      <c r="AE60" s="617"/>
      <c r="AF60" s="617"/>
      <c r="AG60" s="617"/>
      <c r="AH60" s="617"/>
      <c r="AI60" s="617"/>
      <c r="AJ60" s="617"/>
      <c r="AK60" s="617"/>
      <c r="AL60" s="617"/>
      <c r="AM60" s="617"/>
      <c r="AN60" s="617"/>
      <c r="AO60" s="617"/>
      <c r="AP60" s="617"/>
      <c r="AQ60" s="617"/>
      <c r="AR60" s="617"/>
      <c r="AS60" s="617"/>
      <c r="AT60" s="617"/>
      <c r="AU60" s="617"/>
      <c r="AV60" s="617"/>
      <c r="AW60" s="617"/>
      <c r="AX60" s="617"/>
      <c r="AY60" s="617"/>
      <c r="AZ60" s="617"/>
      <c r="BA60" s="617"/>
      <c r="BB60" s="617"/>
      <c r="BC60" s="617"/>
      <c r="BD60" s="617"/>
      <c r="BE60" s="617"/>
      <c r="BF60" s="617"/>
      <c r="BG60" s="617"/>
      <c r="BH60" s="617"/>
      <c r="BI60" s="617"/>
      <c r="BJ60" s="617"/>
    </row>
    <row r="61" spans="2:62" ht="15" customHeight="1">
      <c r="B61" s="581" t="s">
        <v>1</v>
      </c>
      <c r="C61" s="581"/>
      <c r="D61" s="581"/>
      <c r="E61" s="581"/>
      <c r="F61" s="581"/>
      <c r="G61" s="581"/>
      <c r="H61" s="581"/>
      <c r="I61" s="581"/>
      <c r="J61" s="581"/>
      <c r="K61" s="581"/>
      <c r="L61" s="581"/>
      <c r="M61" s="619"/>
      <c r="N61" s="620"/>
      <c r="O61" s="620"/>
      <c r="P61" s="620"/>
      <c r="Q61" s="620"/>
      <c r="R61" s="620"/>
      <c r="S61" s="620"/>
      <c r="T61" s="621"/>
      <c r="U61" s="628"/>
      <c r="V61" s="629"/>
      <c r="W61" s="629"/>
      <c r="X61" s="629"/>
      <c r="Y61" s="630"/>
      <c r="Z61" s="634"/>
      <c r="AA61" s="635"/>
      <c r="AB61" s="635"/>
      <c r="AC61" s="635"/>
      <c r="AD61" s="635"/>
      <c r="AE61" s="635"/>
      <c r="AF61" s="635"/>
      <c r="AG61" s="636"/>
      <c r="AH61" s="640" t="s">
        <v>403</v>
      </c>
      <c r="AI61" s="641"/>
      <c r="AJ61" s="641"/>
      <c r="AK61" s="641"/>
      <c r="AL61" s="641"/>
      <c r="AM61" s="641"/>
      <c r="AN61" s="641"/>
      <c r="AO61" s="642"/>
      <c r="AP61" s="645" t="s">
        <v>404</v>
      </c>
      <c r="AQ61" s="641"/>
      <c r="AR61" s="641"/>
      <c r="AS61" s="641"/>
      <c r="AT61" s="641"/>
      <c r="AU61" s="641"/>
      <c r="AV61" s="641"/>
      <c r="AW61" s="642"/>
      <c r="AX61" s="640" t="s">
        <v>405</v>
      </c>
      <c r="AY61" s="646"/>
      <c r="AZ61" s="646"/>
      <c r="BA61" s="646"/>
      <c r="BB61" s="646"/>
      <c r="BC61" s="646"/>
      <c r="BD61" s="646"/>
      <c r="BE61" s="647"/>
      <c r="BF61" s="640" t="s">
        <v>406</v>
      </c>
      <c r="BG61" s="646"/>
      <c r="BH61" s="646"/>
      <c r="BI61" s="646"/>
      <c r="BJ61" s="646"/>
    </row>
    <row r="62" spans="2:62" ht="15" customHeight="1">
      <c r="B62" s="198"/>
      <c r="C62" s="198"/>
      <c r="D62" s="198"/>
      <c r="E62" s="169"/>
      <c r="F62" s="169"/>
      <c r="G62" s="198"/>
      <c r="H62" s="198"/>
      <c r="I62" s="198"/>
      <c r="J62" s="198"/>
      <c r="K62" s="198"/>
      <c r="L62" s="198"/>
      <c r="M62" s="622"/>
      <c r="N62" s="623"/>
      <c r="O62" s="623"/>
      <c r="P62" s="623"/>
      <c r="Q62" s="623"/>
      <c r="R62" s="623"/>
      <c r="S62" s="623"/>
      <c r="T62" s="624"/>
      <c r="U62" s="631"/>
      <c r="V62" s="632"/>
      <c r="W62" s="632"/>
      <c r="X62" s="632"/>
      <c r="Y62" s="633"/>
      <c r="Z62" s="637"/>
      <c r="AA62" s="638"/>
      <c r="AB62" s="638"/>
      <c r="AC62" s="638"/>
      <c r="AD62" s="638"/>
      <c r="AE62" s="638"/>
      <c r="AF62" s="638"/>
      <c r="AG62" s="639"/>
      <c r="AH62" s="551"/>
      <c r="AI62" s="643"/>
      <c r="AJ62" s="643"/>
      <c r="AK62" s="643"/>
      <c r="AL62" s="643"/>
      <c r="AM62" s="643"/>
      <c r="AN62" s="643"/>
      <c r="AO62" s="644"/>
      <c r="AP62" s="551"/>
      <c r="AQ62" s="643"/>
      <c r="AR62" s="643"/>
      <c r="AS62" s="643"/>
      <c r="AT62" s="643"/>
      <c r="AU62" s="643"/>
      <c r="AV62" s="643"/>
      <c r="AW62" s="644"/>
      <c r="AX62" s="622"/>
      <c r="AY62" s="623"/>
      <c r="AZ62" s="623"/>
      <c r="BA62" s="623"/>
      <c r="BB62" s="623"/>
      <c r="BC62" s="623"/>
      <c r="BD62" s="623"/>
      <c r="BE62" s="624"/>
      <c r="BF62" s="622"/>
      <c r="BG62" s="623"/>
      <c r="BH62" s="623"/>
      <c r="BI62" s="623"/>
      <c r="BJ62" s="623"/>
    </row>
    <row r="63" spans="2:62" ht="12.95" customHeight="1">
      <c r="B63" s="64"/>
      <c r="C63" s="164"/>
      <c r="D63" s="164"/>
      <c r="E63" s="164"/>
      <c r="F63" s="64"/>
      <c r="G63" s="64"/>
      <c r="H63" s="64"/>
      <c r="I63" s="100"/>
      <c r="J63" s="100"/>
      <c r="K63" s="100"/>
      <c r="L63" s="100"/>
      <c r="M63" s="199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164"/>
      <c r="AC63" s="164"/>
      <c r="AD63" s="612" t="s">
        <v>157</v>
      </c>
      <c r="AE63" s="613"/>
      <c r="AF63" s="613"/>
      <c r="AG63" s="613"/>
      <c r="AH63" s="64"/>
      <c r="AI63" s="164"/>
      <c r="AJ63" s="164"/>
      <c r="AK63" s="164"/>
      <c r="AL63" s="612" t="s">
        <v>157</v>
      </c>
      <c r="AM63" s="613"/>
      <c r="AN63" s="613"/>
      <c r="AO63" s="613"/>
      <c r="AP63" s="164"/>
      <c r="AQ63" s="164"/>
      <c r="AR63" s="164"/>
      <c r="AS63" s="64"/>
      <c r="AT63" s="612" t="s">
        <v>157</v>
      </c>
      <c r="AU63" s="613"/>
      <c r="AV63" s="613"/>
      <c r="AW63" s="613"/>
      <c r="AX63" s="164"/>
      <c r="AY63" s="164"/>
      <c r="AZ63" s="64"/>
      <c r="BA63" s="64"/>
      <c r="BB63" s="612" t="s">
        <v>157</v>
      </c>
      <c r="BC63" s="613"/>
      <c r="BD63" s="613"/>
      <c r="BE63" s="613"/>
      <c r="BF63" s="164"/>
      <c r="BG63" s="64"/>
      <c r="BH63" s="614" t="s">
        <v>157</v>
      </c>
      <c r="BI63" s="615"/>
      <c r="BJ63" s="615"/>
    </row>
    <row r="64" spans="2:62" ht="12.95" customHeight="1">
      <c r="B64" s="64"/>
      <c r="C64" s="164"/>
      <c r="D64" s="164"/>
      <c r="E64" s="164"/>
      <c r="F64" s="64"/>
      <c r="G64" s="64"/>
      <c r="H64" s="64"/>
      <c r="I64" s="64"/>
      <c r="J64" s="64"/>
      <c r="K64" s="64"/>
      <c r="L64" s="64"/>
      <c r="M64" s="199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164"/>
      <c r="AC64" s="164"/>
      <c r="AD64" s="1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164"/>
      <c r="AQ64" s="164"/>
      <c r="AR64" s="164"/>
      <c r="AS64" s="64"/>
      <c r="AT64" s="64"/>
      <c r="AU64" s="64"/>
      <c r="AV64" s="64"/>
      <c r="AW64" s="164"/>
      <c r="AX64" s="164"/>
      <c r="AY64" s="164"/>
      <c r="AZ64" s="64"/>
      <c r="BA64" s="64"/>
      <c r="BB64" s="64"/>
      <c r="BC64" s="64"/>
      <c r="BD64" s="164"/>
      <c r="BE64" s="164"/>
      <c r="BF64" s="164"/>
      <c r="BG64" s="64"/>
      <c r="BH64" s="64"/>
      <c r="BI64" s="164"/>
      <c r="BJ64" s="164"/>
    </row>
    <row r="65" spans="2:62" ht="12.95" customHeight="1">
      <c r="B65" s="581" t="s">
        <v>162</v>
      </c>
      <c r="C65" s="581"/>
      <c r="D65" s="581"/>
      <c r="E65" s="581"/>
      <c r="F65" s="560">
        <v>20</v>
      </c>
      <c r="G65" s="560"/>
      <c r="H65" s="560"/>
      <c r="I65" s="581" t="s">
        <v>161</v>
      </c>
      <c r="J65" s="581"/>
      <c r="K65" s="581"/>
      <c r="L65" s="581"/>
      <c r="M65" s="600">
        <v>2990076</v>
      </c>
      <c r="N65" s="601"/>
      <c r="O65" s="601"/>
      <c r="P65" s="601"/>
      <c r="Q65" s="601"/>
      <c r="R65" s="601"/>
      <c r="S65" s="601"/>
      <c r="T65" s="601"/>
      <c r="U65" s="602">
        <v>14.59</v>
      </c>
      <c r="V65" s="603"/>
      <c r="W65" s="603"/>
      <c r="X65" s="603"/>
      <c r="Y65" s="603"/>
      <c r="Z65" s="604">
        <v>51369765</v>
      </c>
      <c r="AA65" s="601"/>
      <c r="AB65" s="601"/>
      <c r="AC65" s="601"/>
      <c r="AD65" s="601"/>
      <c r="AE65" s="601"/>
      <c r="AF65" s="601"/>
      <c r="AG65" s="601"/>
      <c r="AH65" s="604">
        <v>37402707</v>
      </c>
      <c r="AI65" s="601"/>
      <c r="AJ65" s="601"/>
      <c r="AK65" s="601"/>
      <c r="AL65" s="601"/>
      <c r="AM65" s="601"/>
      <c r="AN65" s="601"/>
      <c r="AO65" s="601"/>
      <c r="AP65" s="604">
        <v>12192190</v>
      </c>
      <c r="AQ65" s="601"/>
      <c r="AR65" s="601"/>
      <c r="AS65" s="601"/>
      <c r="AT65" s="601"/>
      <c r="AU65" s="601"/>
      <c r="AV65" s="601"/>
      <c r="AW65" s="601"/>
      <c r="AX65" s="604">
        <v>1774868</v>
      </c>
      <c r="AY65" s="601"/>
      <c r="AZ65" s="601"/>
      <c r="BA65" s="601"/>
      <c r="BB65" s="601"/>
      <c r="BC65" s="601"/>
      <c r="BD65" s="601"/>
      <c r="BE65" s="601"/>
      <c r="BF65" s="605">
        <v>250.7</v>
      </c>
      <c r="BG65" s="606"/>
      <c r="BH65" s="606"/>
      <c r="BI65" s="606"/>
      <c r="BJ65" s="606"/>
    </row>
    <row r="66" spans="2:62" s="72" customFormat="1" ht="12.95" customHeight="1">
      <c r="B66" s="64"/>
      <c r="C66" s="64"/>
      <c r="D66" s="64"/>
      <c r="E66" s="164"/>
      <c r="F66" s="560">
        <v>21</v>
      </c>
      <c r="G66" s="560"/>
      <c r="H66" s="560"/>
      <c r="I66" s="64"/>
      <c r="J66" s="64"/>
      <c r="K66" s="64"/>
      <c r="L66" s="64"/>
      <c r="M66" s="600">
        <v>3014325</v>
      </c>
      <c r="N66" s="601"/>
      <c r="O66" s="601"/>
      <c r="P66" s="601"/>
      <c r="Q66" s="601"/>
      <c r="R66" s="601"/>
      <c r="S66" s="601"/>
      <c r="T66" s="601"/>
      <c r="U66" s="602">
        <v>14.84</v>
      </c>
      <c r="V66" s="603"/>
      <c r="W66" s="603"/>
      <c r="X66" s="603"/>
      <c r="Y66" s="603"/>
      <c r="Z66" s="604">
        <v>51944707</v>
      </c>
      <c r="AA66" s="601"/>
      <c r="AB66" s="601"/>
      <c r="AC66" s="601"/>
      <c r="AD66" s="601"/>
      <c r="AE66" s="601"/>
      <c r="AF66" s="601"/>
      <c r="AG66" s="601"/>
      <c r="AH66" s="604">
        <v>37734182</v>
      </c>
      <c r="AI66" s="601"/>
      <c r="AJ66" s="601"/>
      <c r="AK66" s="601"/>
      <c r="AL66" s="601"/>
      <c r="AM66" s="601"/>
      <c r="AN66" s="601"/>
      <c r="AO66" s="601"/>
      <c r="AP66" s="604">
        <v>12327549</v>
      </c>
      <c r="AQ66" s="601"/>
      <c r="AR66" s="601"/>
      <c r="AS66" s="601"/>
      <c r="AT66" s="601"/>
      <c r="AU66" s="601"/>
      <c r="AV66" s="601"/>
      <c r="AW66" s="601"/>
      <c r="AX66" s="604">
        <v>1882977</v>
      </c>
      <c r="AY66" s="601"/>
      <c r="AZ66" s="601"/>
      <c r="BA66" s="601"/>
      <c r="BB66" s="601"/>
      <c r="BC66" s="601"/>
      <c r="BD66" s="601"/>
      <c r="BE66" s="601"/>
      <c r="BF66" s="605">
        <v>255.8</v>
      </c>
      <c r="BG66" s="606"/>
      <c r="BH66" s="606"/>
      <c r="BI66" s="606"/>
      <c r="BJ66" s="606"/>
    </row>
    <row r="67" spans="2:62" ht="12.95" customHeight="1">
      <c r="B67" s="64"/>
      <c r="C67" s="64"/>
      <c r="D67" s="64"/>
      <c r="E67" s="164"/>
      <c r="F67" s="560">
        <v>22</v>
      </c>
      <c r="G67" s="560"/>
      <c r="H67" s="560"/>
      <c r="I67" s="64"/>
      <c r="J67" s="64"/>
      <c r="K67" s="64"/>
      <c r="L67" s="64"/>
      <c r="M67" s="600">
        <v>2997328</v>
      </c>
      <c r="N67" s="601"/>
      <c r="O67" s="601"/>
      <c r="P67" s="601"/>
      <c r="Q67" s="601"/>
      <c r="R67" s="601"/>
      <c r="S67" s="601"/>
      <c r="T67" s="601"/>
      <c r="U67" s="602">
        <v>14.87</v>
      </c>
      <c r="V67" s="603"/>
      <c r="W67" s="603"/>
      <c r="X67" s="603"/>
      <c r="Y67" s="603"/>
      <c r="Z67" s="604">
        <v>52741015</v>
      </c>
      <c r="AA67" s="601"/>
      <c r="AB67" s="601"/>
      <c r="AC67" s="601"/>
      <c r="AD67" s="601"/>
      <c r="AE67" s="601"/>
      <c r="AF67" s="601"/>
      <c r="AG67" s="601"/>
      <c r="AH67" s="604">
        <v>38299575</v>
      </c>
      <c r="AI67" s="601"/>
      <c r="AJ67" s="601"/>
      <c r="AK67" s="601"/>
      <c r="AL67" s="601"/>
      <c r="AM67" s="601"/>
      <c r="AN67" s="601"/>
      <c r="AO67" s="601"/>
      <c r="AP67" s="604">
        <v>12554451</v>
      </c>
      <c r="AQ67" s="601"/>
      <c r="AR67" s="601"/>
      <c r="AS67" s="601"/>
      <c r="AT67" s="601"/>
      <c r="AU67" s="601"/>
      <c r="AV67" s="601"/>
      <c r="AW67" s="601"/>
      <c r="AX67" s="604">
        <v>1886989</v>
      </c>
      <c r="AY67" s="601"/>
      <c r="AZ67" s="601"/>
      <c r="BA67" s="601"/>
      <c r="BB67" s="601"/>
      <c r="BC67" s="601"/>
      <c r="BD67" s="601"/>
      <c r="BE67" s="601"/>
      <c r="BF67" s="605">
        <v>261.60000000000002</v>
      </c>
      <c r="BG67" s="606"/>
      <c r="BH67" s="606"/>
      <c r="BI67" s="606"/>
      <c r="BJ67" s="606"/>
    </row>
    <row r="68" spans="2:62" ht="12.95" customHeight="1">
      <c r="B68" s="64"/>
      <c r="C68" s="64"/>
      <c r="D68" s="64"/>
      <c r="E68" s="164"/>
      <c r="F68" s="560">
        <v>23</v>
      </c>
      <c r="G68" s="560"/>
      <c r="H68" s="560"/>
      <c r="I68" s="64"/>
      <c r="J68" s="64"/>
      <c r="K68" s="64"/>
      <c r="L68" s="64"/>
      <c r="M68" s="600">
        <v>3000520</v>
      </c>
      <c r="N68" s="601"/>
      <c r="O68" s="601"/>
      <c r="P68" s="601"/>
      <c r="Q68" s="601"/>
      <c r="R68" s="601"/>
      <c r="S68" s="601"/>
      <c r="T68" s="601"/>
      <c r="U68" s="602">
        <v>15.11</v>
      </c>
      <c r="V68" s="603"/>
      <c r="W68" s="603"/>
      <c r="X68" s="603"/>
      <c r="Y68" s="603"/>
      <c r="Z68" s="604">
        <v>53660591</v>
      </c>
      <c r="AA68" s="601"/>
      <c r="AB68" s="601"/>
      <c r="AC68" s="601"/>
      <c r="AD68" s="601"/>
      <c r="AE68" s="601"/>
      <c r="AF68" s="601"/>
      <c r="AG68" s="601"/>
      <c r="AH68" s="604">
        <v>38989061</v>
      </c>
      <c r="AI68" s="601"/>
      <c r="AJ68" s="601"/>
      <c r="AK68" s="601"/>
      <c r="AL68" s="601"/>
      <c r="AM68" s="601"/>
      <c r="AN68" s="601"/>
      <c r="AO68" s="601"/>
      <c r="AP68" s="604">
        <v>12369838</v>
      </c>
      <c r="AQ68" s="601"/>
      <c r="AR68" s="601"/>
      <c r="AS68" s="601"/>
      <c r="AT68" s="601"/>
      <c r="AU68" s="601"/>
      <c r="AV68" s="601"/>
      <c r="AW68" s="601"/>
      <c r="AX68" s="604">
        <v>2301692</v>
      </c>
      <c r="AY68" s="601"/>
      <c r="AZ68" s="601"/>
      <c r="BA68" s="601"/>
      <c r="BB68" s="601"/>
      <c r="BC68" s="601"/>
      <c r="BD68" s="601"/>
      <c r="BE68" s="601"/>
      <c r="BF68" s="605">
        <v>270.3</v>
      </c>
      <c r="BG68" s="606"/>
      <c r="BH68" s="606"/>
      <c r="BI68" s="606"/>
      <c r="BJ68" s="606"/>
    </row>
    <row r="69" spans="2:62" s="72" customFormat="1" ht="12.95" customHeight="1">
      <c r="B69" s="73"/>
      <c r="C69" s="73"/>
      <c r="D69" s="73"/>
      <c r="E69" s="167"/>
      <c r="F69" s="582">
        <v>24</v>
      </c>
      <c r="G69" s="582"/>
      <c r="H69" s="582"/>
      <c r="I69" s="73"/>
      <c r="J69" s="73"/>
      <c r="K69" s="73"/>
      <c r="L69" s="73"/>
      <c r="M69" s="607">
        <v>2987873</v>
      </c>
      <c r="N69" s="608"/>
      <c r="O69" s="608"/>
      <c r="P69" s="608"/>
      <c r="Q69" s="608"/>
      <c r="R69" s="608"/>
      <c r="S69" s="608"/>
      <c r="T69" s="608"/>
      <c r="U69" s="609">
        <v>15.39</v>
      </c>
      <c r="V69" s="610"/>
      <c r="W69" s="610"/>
      <c r="X69" s="610"/>
      <c r="Y69" s="610"/>
      <c r="Z69" s="608">
        <v>53460838</v>
      </c>
      <c r="AA69" s="608"/>
      <c r="AB69" s="608"/>
      <c r="AC69" s="608"/>
      <c r="AD69" s="608"/>
      <c r="AE69" s="608"/>
      <c r="AF69" s="608"/>
      <c r="AG69" s="608"/>
      <c r="AH69" s="608">
        <v>38831174</v>
      </c>
      <c r="AI69" s="608"/>
      <c r="AJ69" s="608"/>
      <c r="AK69" s="608"/>
      <c r="AL69" s="608"/>
      <c r="AM69" s="608"/>
      <c r="AN69" s="608"/>
      <c r="AO69" s="608"/>
      <c r="AP69" s="608">
        <v>12121052</v>
      </c>
      <c r="AQ69" s="608"/>
      <c r="AR69" s="608"/>
      <c r="AS69" s="608"/>
      <c r="AT69" s="608"/>
      <c r="AU69" s="608"/>
      <c r="AV69" s="608"/>
      <c r="AW69" s="608"/>
      <c r="AX69" s="608">
        <v>2508612</v>
      </c>
      <c r="AY69" s="608"/>
      <c r="AZ69" s="608"/>
      <c r="BA69" s="608"/>
      <c r="BB69" s="608"/>
      <c r="BC69" s="608"/>
      <c r="BD69" s="608"/>
      <c r="BE69" s="608"/>
      <c r="BF69" s="611">
        <v>275.39999999999998</v>
      </c>
      <c r="BG69" s="611"/>
      <c r="BH69" s="611"/>
      <c r="BI69" s="611"/>
      <c r="BJ69" s="611"/>
    </row>
    <row r="70" spans="2:62" ht="12.95" customHeight="1">
      <c r="B70" s="69"/>
      <c r="C70" s="69"/>
      <c r="D70" s="69"/>
      <c r="E70" s="71"/>
      <c r="F70" s="71"/>
      <c r="G70" s="69"/>
      <c r="H70" s="69"/>
      <c r="I70" s="69"/>
      <c r="J70" s="69"/>
      <c r="K70" s="69"/>
      <c r="L70" s="70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</row>
    <row r="71" spans="2:62" ht="12" customHeight="1">
      <c r="C71" s="576" t="s">
        <v>8</v>
      </c>
      <c r="D71" s="576"/>
      <c r="E71" s="61" t="s">
        <v>407</v>
      </c>
      <c r="F71" s="599">
        <v>-1</v>
      </c>
      <c r="G71" s="599"/>
      <c r="H71" s="61" t="s">
        <v>193</v>
      </c>
    </row>
    <row r="72" spans="2:62" ht="12" customHeight="1">
      <c r="F72" s="598">
        <v>-2</v>
      </c>
      <c r="G72" s="598"/>
      <c r="H72" s="61" t="s">
        <v>192</v>
      </c>
    </row>
    <row r="73" spans="2:62" ht="12" customHeight="1">
      <c r="B73" s="577" t="s">
        <v>9</v>
      </c>
      <c r="C73" s="577"/>
      <c r="D73" s="577"/>
      <c r="E73" s="61" t="s">
        <v>407</v>
      </c>
      <c r="F73" s="61" t="s">
        <v>158</v>
      </c>
    </row>
    <row r="74" spans="2:62" ht="12" customHeight="1">
      <c r="B74" s="166"/>
      <c r="C74" s="166"/>
      <c r="D74" s="166"/>
      <c r="E74" s="165"/>
    </row>
    <row r="75" spans="2:62" ht="12" customHeight="1">
      <c r="B75" s="67"/>
      <c r="C75" s="67"/>
      <c r="D75" s="67"/>
      <c r="E75" s="66"/>
    </row>
    <row r="76" spans="2:62" ht="12" customHeight="1">
      <c r="C76" s="67"/>
      <c r="D76" s="67"/>
      <c r="E76" s="67"/>
      <c r="F76" s="67"/>
    </row>
    <row r="78" spans="2:62" ht="12" customHeight="1">
      <c r="G78" s="63"/>
      <c r="H78" s="63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</row>
    <row r="79" spans="2:62" ht="12" customHeight="1">
      <c r="G79" s="63"/>
      <c r="H79" s="63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</row>
    <row r="80" spans="2:62" ht="12" customHeight="1">
      <c r="G80" s="63"/>
      <c r="H80" s="63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</row>
    <row r="81" spans="7:55" ht="12" customHeight="1">
      <c r="G81" s="63"/>
      <c r="H81" s="63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</row>
  </sheetData>
  <mergeCells count="232">
    <mergeCell ref="G54:I54"/>
    <mergeCell ref="O54:U54"/>
    <mergeCell ref="V54:AB54"/>
    <mergeCell ref="AC54:AI54"/>
    <mergeCell ref="AJ54:AP54"/>
    <mergeCell ref="AQ54:AW54"/>
    <mergeCell ref="AX54:BD54"/>
    <mergeCell ref="BE54:BJ54"/>
    <mergeCell ref="B56:D56"/>
    <mergeCell ref="G52:I52"/>
    <mergeCell ref="O52:U52"/>
    <mergeCell ref="V52:AB52"/>
    <mergeCell ref="AC52:AI52"/>
    <mergeCell ref="AJ52:AP52"/>
    <mergeCell ref="AQ52:AW52"/>
    <mergeCell ref="AX52:BD52"/>
    <mergeCell ref="BE52:BJ52"/>
    <mergeCell ref="G53:I53"/>
    <mergeCell ref="O53:U53"/>
    <mergeCell ref="V53:AB53"/>
    <mergeCell ref="AC53:AI53"/>
    <mergeCell ref="AJ53:AP53"/>
    <mergeCell ref="AQ53:AW53"/>
    <mergeCell ref="AX53:BD53"/>
    <mergeCell ref="BE53:BJ53"/>
    <mergeCell ref="BE50:BJ50"/>
    <mergeCell ref="G51:I51"/>
    <mergeCell ref="O51:U51"/>
    <mergeCell ref="V51:AB51"/>
    <mergeCell ref="AC51:AI51"/>
    <mergeCell ref="AJ51:AP51"/>
    <mergeCell ref="AQ51:AW51"/>
    <mergeCell ref="AX51:BD51"/>
    <mergeCell ref="BE51:BJ51"/>
    <mergeCell ref="C50:F50"/>
    <mergeCell ref="G50:I50"/>
    <mergeCell ref="J50:M50"/>
    <mergeCell ref="O50:U50"/>
    <mergeCell ref="V50:AB50"/>
    <mergeCell ref="AC50:AI50"/>
    <mergeCell ref="AJ50:AP50"/>
    <mergeCell ref="AQ50:AW50"/>
    <mergeCell ref="AX50:BD50"/>
    <mergeCell ref="B46:BJ46"/>
    <mergeCell ref="B48:N48"/>
    <mergeCell ref="O48:U48"/>
    <mergeCell ref="V48:AB48"/>
    <mergeCell ref="AC48:AI48"/>
    <mergeCell ref="AJ48:AP48"/>
    <mergeCell ref="AQ48:AW48"/>
    <mergeCell ref="AX48:BD48"/>
    <mergeCell ref="BE48:BJ48"/>
    <mergeCell ref="G42:I42"/>
    <mergeCell ref="O42:U42"/>
    <mergeCell ref="V42:AB42"/>
    <mergeCell ref="AC42:AI42"/>
    <mergeCell ref="AJ42:AP42"/>
    <mergeCell ref="AQ42:AW42"/>
    <mergeCell ref="AX42:BD42"/>
    <mergeCell ref="BE42:BJ42"/>
    <mergeCell ref="B44:D44"/>
    <mergeCell ref="G40:I40"/>
    <mergeCell ref="O40:U40"/>
    <mergeCell ref="V40:AB40"/>
    <mergeCell ref="AC40:AI40"/>
    <mergeCell ref="AJ40:AP40"/>
    <mergeCell ref="AQ40:AW40"/>
    <mergeCell ref="AX40:BD40"/>
    <mergeCell ref="BE40:BJ40"/>
    <mergeCell ref="G41:I41"/>
    <mergeCell ref="O41:U41"/>
    <mergeCell ref="V41:AB41"/>
    <mergeCell ref="AC41:AI41"/>
    <mergeCell ref="AJ41:AP41"/>
    <mergeCell ref="AQ41:AW41"/>
    <mergeCell ref="AX41:BD41"/>
    <mergeCell ref="BE41:BJ41"/>
    <mergeCell ref="BE38:BJ38"/>
    <mergeCell ref="G39:I39"/>
    <mergeCell ref="O39:U39"/>
    <mergeCell ref="V39:AB39"/>
    <mergeCell ref="AC39:AI39"/>
    <mergeCell ref="AJ39:AP39"/>
    <mergeCell ref="AQ39:AW39"/>
    <mergeCell ref="AX39:BD39"/>
    <mergeCell ref="BE39:BJ39"/>
    <mergeCell ref="C38:F38"/>
    <mergeCell ref="G38:I38"/>
    <mergeCell ref="J38:M38"/>
    <mergeCell ref="O38:U38"/>
    <mergeCell ref="V38:AB38"/>
    <mergeCell ref="AC38:AI38"/>
    <mergeCell ref="AJ38:AP38"/>
    <mergeCell ref="AQ38:AW38"/>
    <mergeCell ref="AX38:BD38"/>
    <mergeCell ref="B32:D32"/>
    <mergeCell ref="B34:BJ34"/>
    <mergeCell ref="B36:N36"/>
    <mergeCell ref="O36:U36"/>
    <mergeCell ref="V36:AB36"/>
    <mergeCell ref="AC36:AI36"/>
    <mergeCell ref="AJ36:AP36"/>
    <mergeCell ref="AQ36:AW36"/>
    <mergeCell ref="AX36:BD36"/>
    <mergeCell ref="BE36:BJ36"/>
    <mergeCell ref="G28:I28"/>
    <mergeCell ref="O28:Z28"/>
    <mergeCell ref="AA28:AL28"/>
    <mergeCell ref="AM28:AX28"/>
    <mergeCell ref="AY28:BJ28"/>
    <mergeCell ref="G29:I29"/>
    <mergeCell ref="O29:Z29"/>
    <mergeCell ref="AA29:AL29"/>
    <mergeCell ref="AM29:AX29"/>
    <mergeCell ref="AY29:BJ29"/>
    <mergeCell ref="C26:F26"/>
    <mergeCell ref="G26:I26"/>
    <mergeCell ref="J26:M26"/>
    <mergeCell ref="O26:Z26"/>
    <mergeCell ref="AA26:AL26"/>
    <mergeCell ref="AM26:AX26"/>
    <mergeCell ref="AY26:BJ26"/>
    <mergeCell ref="G27:I27"/>
    <mergeCell ref="O27:Z27"/>
    <mergeCell ref="AA27:AL27"/>
    <mergeCell ref="AM27:AX27"/>
    <mergeCell ref="AY27:BJ27"/>
    <mergeCell ref="B22:N23"/>
    <mergeCell ref="O22:AL22"/>
    <mergeCell ref="AM22:BJ22"/>
    <mergeCell ref="O23:Z23"/>
    <mergeCell ref="AA23:AL23"/>
    <mergeCell ref="AM23:AX23"/>
    <mergeCell ref="AY23:BJ23"/>
    <mergeCell ref="Y24:Z24"/>
    <mergeCell ref="AK24:AL24"/>
    <mergeCell ref="AW24:AX24"/>
    <mergeCell ref="BI24:BJ24"/>
    <mergeCell ref="G14:I14"/>
    <mergeCell ref="O14:Z14"/>
    <mergeCell ref="AA14:AL14"/>
    <mergeCell ref="G15:I15"/>
    <mergeCell ref="O15:Z15"/>
    <mergeCell ref="AA15:AL15"/>
    <mergeCell ref="C17:D17"/>
    <mergeCell ref="B18:D18"/>
    <mergeCell ref="B20:BJ20"/>
    <mergeCell ref="A1:S2"/>
    <mergeCell ref="G30:I30"/>
    <mergeCell ref="O30:Z30"/>
    <mergeCell ref="AA30:AL30"/>
    <mergeCell ref="AM30:AX30"/>
    <mergeCell ref="AY30:BJ30"/>
    <mergeCell ref="B5:AZ5"/>
    <mergeCell ref="B7:N8"/>
    <mergeCell ref="O7:AL7"/>
    <mergeCell ref="O8:Z8"/>
    <mergeCell ref="AA8:AL8"/>
    <mergeCell ref="Y9:Z9"/>
    <mergeCell ref="AK9:AL9"/>
    <mergeCell ref="C11:F11"/>
    <mergeCell ref="G11:I11"/>
    <mergeCell ref="J11:M11"/>
    <mergeCell ref="O11:Z11"/>
    <mergeCell ref="AA11:AL11"/>
    <mergeCell ref="G12:I12"/>
    <mergeCell ref="O12:Z12"/>
    <mergeCell ref="AA12:AL12"/>
    <mergeCell ref="G13:I13"/>
    <mergeCell ref="O13:Z13"/>
    <mergeCell ref="AA13:AL13"/>
    <mergeCell ref="B58:BJ58"/>
    <mergeCell ref="M60:T62"/>
    <mergeCell ref="U60:Y62"/>
    <mergeCell ref="Z60:BJ60"/>
    <mergeCell ref="B61:L61"/>
    <mergeCell ref="Z61:AG62"/>
    <mergeCell ref="AH61:AO62"/>
    <mergeCell ref="AP61:AW62"/>
    <mergeCell ref="AX61:BE62"/>
    <mergeCell ref="BF61:BJ62"/>
    <mergeCell ref="AD63:AG63"/>
    <mergeCell ref="AL63:AO63"/>
    <mergeCell ref="AT63:AW63"/>
    <mergeCell ref="BB63:BE63"/>
    <mergeCell ref="BH63:BJ63"/>
    <mergeCell ref="B65:E65"/>
    <mergeCell ref="F65:H65"/>
    <mergeCell ref="I65:L65"/>
    <mergeCell ref="M65:T65"/>
    <mergeCell ref="U65:Y65"/>
    <mergeCell ref="Z65:AG65"/>
    <mergeCell ref="AH65:AO65"/>
    <mergeCell ref="AP65:AW65"/>
    <mergeCell ref="AX65:BE65"/>
    <mergeCell ref="BF65:BJ65"/>
    <mergeCell ref="F66:H66"/>
    <mergeCell ref="M66:T66"/>
    <mergeCell ref="U66:Y66"/>
    <mergeCell ref="Z66:AG66"/>
    <mergeCell ref="AH66:AO66"/>
    <mergeCell ref="AP66:AW66"/>
    <mergeCell ref="AX66:BE66"/>
    <mergeCell ref="BF66:BJ66"/>
    <mergeCell ref="F67:H67"/>
    <mergeCell ref="M67:T67"/>
    <mergeCell ref="U67:Y67"/>
    <mergeCell ref="Z67:AG67"/>
    <mergeCell ref="AH67:AO67"/>
    <mergeCell ref="AP67:AW67"/>
    <mergeCell ref="AX67:BE67"/>
    <mergeCell ref="BF67:BJ67"/>
    <mergeCell ref="AP68:AW68"/>
    <mergeCell ref="AX68:BE68"/>
    <mergeCell ref="BF68:BJ68"/>
    <mergeCell ref="F69:H69"/>
    <mergeCell ref="M69:T69"/>
    <mergeCell ref="U69:Y69"/>
    <mergeCell ref="Z69:AG69"/>
    <mergeCell ref="AH69:AO69"/>
    <mergeCell ref="AP69:AW69"/>
    <mergeCell ref="AX69:BE69"/>
    <mergeCell ref="BF69:BJ69"/>
    <mergeCell ref="C71:D71"/>
    <mergeCell ref="F71:G71"/>
    <mergeCell ref="F72:G72"/>
    <mergeCell ref="B73:D73"/>
    <mergeCell ref="F68:H68"/>
    <mergeCell ref="M68:T68"/>
    <mergeCell ref="U68:Y68"/>
    <mergeCell ref="Z68:AG68"/>
    <mergeCell ref="AH68:AO68"/>
  </mergeCells>
  <phoneticPr fontId="15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BN63"/>
  <sheetViews>
    <sheetView view="pageBreakPreview" zoomScaleNormal="100" zoomScaleSheetLayoutView="100" workbookViewId="0"/>
  </sheetViews>
  <sheetFormatPr defaultRowHeight="12" customHeight="1"/>
  <cols>
    <col min="1" max="1" width="1" style="61" customWidth="1"/>
    <col min="2" max="63" width="1.625" style="61" customWidth="1"/>
    <col min="64" max="16384" width="9" style="61"/>
  </cols>
  <sheetData>
    <row r="1" spans="2:65" ht="11.1" customHeight="1"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570">
        <f>'194'!A1+1</f>
        <v>195</v>
      </c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</row>
    <row r="2" spans="2:65" ht="11.1" customHeight="1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</row>
    <row r="3" spans="2:65" ht="11.1" customHeight="1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</row>
    <row r="4" spans="2:65" ht="11.1" customHeight="1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</row>
    <row r="5" spans="2:65" ht="12.95" customHeight="1">
      <c r="B5" s="560" t="s">
        <v>232</v>
      </c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Z5" s="560"/>
      <c r="AA5" s="560"/>
      <c r="AB5" s="560"/>
      <c r="AC5" s="560"/>
      <c r="AD5" s="560"/>
      <c r="AE5" s="560"/>
      <c r="AF5" s="560"/>
      <c r="AG5" s="560"/>
      <c r="AH5" s="560"/>
      <c r="AI5" s="560"/>
      <c r="AJ5" s="560"/>
      <c r="AK5" s="560"/>
      <c r="AL5" s="560"/>
      <c r="AM5" s="560"/>
      <c r="AN5" s="560"/>
      <c r="AO5" s="560"/>
      <c r="AP5" s="560"/>
      <c r="AQ5" s="560"/>
      <c r="AR5" s="560"/>
      <c r="AS5" s="560"/>
      <c r="AT5" s="560"/>
      <c r="AU5" s="560"/>
      <c r="AV5" s="560"/>
      <c r="AW5" s="560"/>
      <c r="AX5" s="560"/>
      <c r="AY5" s="560"/>
      <c r="AZ5" s="560"/>
      <c r="BA5" s="560"/>
      <c r="BB5" s="560"/>
      <c r="BC5" s="560"/>
      <c r="BD5" s="560"/>
      <c r="BE5" s="560"/>
      <c r="BF5" s="560"/>
      <c r="BG5" s="560"/>
      <c r="BH5" s="560"/>
      <c r="BI5" s="560"/>
      <c r="BJ5" s="560"/>
    </row>
    <row r="6" spans="2:65" ht="12.95" customHeight="1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2:65" ht="18" customHeight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561" t="s">
        <v>223</v>
      </c>
      <c r="P7" s="561"/>
      <c r="Q7" s="561"/>
      <c r="R7" s="561"/>
      <c r="S7" s="561"/>
      <c r="T7" s="561"/>
      <c r="U7" s="561"/>
      <c r="V7" s="561"/>
      <c r="W7" s="561"/>
      <c r="X7" s="561"/>
      <c r="Y7" s="561"/>
      <c r="Z7" s="561"/>
      <c r="AA7" s="561" t="s">
        <v>231</v>
      </c>
      <c r="AB7" s="561"/>
      <c r="AC7" s="561"/>
      <c r="AD7" s="561"/>
      <c r="AE7" s="561"/>
      <c r="AF7" s="561"/>
      <c r="AG7" s="561"/>
      <c r="AH7" s="561"/>
      <c r="AI7" s="561"/>
      <c r="AJ7" s="561"/>
      <c r="AK7" s="561"/>
      <c r="AL7" s="561"/>
      <c r="AM7" s="561"/>
      <c r="AN7" s="561"/>
      <c r="AO7" s="561"/>
      <c r="AP7" s="561"/>
      <c r="AQ7" s="561"/>
      <c r="AR7" s="561"/>
      <c r="AS7" s="561"/>
      <c r="AT7" s="561"/>
      <c r="AU7" s="561"/>
      <c r="AV7" s="561"/>
      <c r="AW7" s="561"/>
      <c r="AX7" s="561"/>
      <c r="AY7" s="561"/>
      <c r="AZ7" s="561"/>
      <c r="BA7" s="561"/>
      <c r="BB7" s="561"/>
      <c r="BC7" s="561"/>
      <c r="BD7" s="561"/>
      <c r="BE7" s="561"/>
      <c r="BF7" s="561"/>
      <c r="BG7" s="561"/>
      <c r="BH7" s="561"/>
      <c r="BI7" s="561"/>
      <c r="BJ7" s="579"/>
    </row>
    <row r="8" spans="2:65" ht="18" customHeight="1">
      <c r="B8" s="581" t="s">
        <v>1</v>
      </c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 t="s">
        <v>230</v>
      </c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 t="s">
        <v>229</v>
      </c>
      <c r="AN8" s="562"/>
      <c r="AO8" s="562"/>
      <c r="AP8" s="562"/>
      <c r="AQ8" s="562"/>
      <c r="AR8" s="562"/>
      <c r="AS8" s="562"/>
      <c r="AT8" s="562"/>
      <c r="AU8" s="562"/>
      <c r="AV8" s="562"/>
      <c r="AW8" s="562"/>
      <c r="AX8" s="562"/>
      <c r="AY8" s="562" t="s">
        <v>228</v>
      </c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80"/>
    </row>
    <row r="9" spans="2:65" ht="18" customHeigh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562" t="s">
        <v>177</v>
      </c>
      <c r="P9" s="562"/>
      <c r="Q9" s="562"/>
      <c r="R9" s="562"/>
      <c r="S9" s="562"/>
      <c r="T9" s="562"/>
      <c r="U9" s="562" t="s">
        <v>176</v>
      </c>
      <c r="V9" s="562"/>
      <c r="W9" s="562"/>
      <c r="X9" s="562"/>
      <c r="Y9" s="562"/>
      <c r="Z9" s="562"/>
      <c r="AA9" s="562" t="s">
        <v>177</v>
      </c>
      <c r="AB9" s="562"/>
      <c r="AC9" s="562"/>
      <c r="AD9" s="562"/>
      <c r="AE9" s="562"/>
      <c r="AF9" s="562"/>
      <c r="AG9" s="562" t="s">
        <v>176</v>
      </c>
      <c r="AH9" s="562"/>
      <c r="AI9" s="562"/>
      <c r="AJ9" s="562"/>
      <c r="AK9" s="562"/>
      <c r="AL9" s="562"/>
      <c r="AM9" s="562" t="s">
        <v>177</v>
      </c>
      <c r="AN9" s="562"/>
      <c r="AO9" s="562"/>
      <c r="AP9" s="562"/>
      <c r="AQ9" s="562"/>
      <c r="AR9" s="562"/>
      <c r="AS9" s="562" t="s">
        <v>176</v>
      </c>
      <c r="AT9" s="562"/>
      <c r="AU9" s="562"/>
      <c r="AV9" s="562"/>
      <c r="AW9" s="562"/>
      <c r="AX9" s="562"/>
      <c r="AY9" s="562" t="s">
        <v>177</v>
      </c>
      <c r="AZ9" s="562"/>
      <c r="BA9" s="562"/>
      <c r="BB9" s="562"/>
      <c r="BC9" s="562"/>
      <c r="BD9" s="562"/>
      <c r="BE9" s="562" t="s">
        <v>176</v>
      </c>
      <c r="BF9" s="562"/>
      <c r="BG9" s="562"/>
      <c r="BH9" s="562"/>
      <c r="BI9" s="562"/>
      <c r="BJ9" s="580"/>
    </row>
    <row r="10" spans="2:65" ht="13.5" customHeight="1">
      <c r="B10" s="100"/>
      <c r="C10" s="101"/>
      <c r="D10" s="101"/>
      <c r="E10" s="101"/>
      <c r="F10" s="101"/>
      <c r="G10" s="100"/>
      <c r="H10" s="100"/>
      <c r="I10" s="100"/>
      <c r="J10" s="100"/>
      <c r="K10" s="100"/>
      <c r="L10" s="100"/>
      <c r="M10" s="100"/>
      <c r="N10" s="78"/>
      <c r="O10" s="64"/>
      <c r="P10" s="64"/>
      <c r="Q10" s="64"/>
      <c r="R10" s="64"/>
      <c r="S10" s="64"/>
      <c r="T10" s="64"/>
      <c r="U10" s="64"/>
      <c r="V10" s="64"/>
      <c r="W10" s="64"/>
      <c r="X10" s="560" t="s">
        <v>157</v>
      </c>
      <c r="Y10" s="560"/>
      <c r="Z10" s="560"/>
      <c r="AA10" s="64"/>
      <c r="AB10" s="64"/>
      <c r="AC10" s="64"/>
      <c r="AD10" s="64"/>
      <c r="AE10" s="64"/>
      <c r="AF10" s="64"/>
      <c r="AG10" s="64"/>
      <c r="AH10" s="64"/>
      <c r="AI10" s="64"/>
      <c r="AJ10" s="560" t="s">
        <v>157</v>
      </c>
      <c r="AK10" s="560"/>
      <c r="AL10" s="560"/>
      <c r="AM10" s="64"/>
      <c r="AN10" s="64"/>
      <c r="AO10" s="64"/>
      <c r="AP10" s="64"/>
      <c r="AQ10" s="64"/>
      <c r="AR10" s="64"/>
      <c r="AS10" s="64"/>
      <c r="AT10" s="64"/>
      <c r="AU10" s="64"/>
      <c r="AV10" s="560" t="s">
        <v>157</v>
      </c>
      <c r="AW10" s="560"/>
      <c r="AX10" s="560"/>
      <c r="AY10" s="64"/>
      <c r="AZ10" s="64"/>
      <c r="BA10" s="64"/>
      <c r="BB10" s="64"/>
      <c r="BC10" s="64"/>
      <c r="BD10" s="64"/>
      <c r="BE10" s="64"/>
      <c r="BF10" s="64"/>
      <c r="BG10" s="64"/>
      <c r="BH10" s="560" t="s">
        <v>157</v>
      </c>
      <c r="BI10" s="560"/>
      <c r="BJ10" s="560"/>
    </row>
    <row r="11" spans="2:65" ht="13.5" customHeight="1">
      <c r="B11" s="64"/>
      <c r="C11" s="68"/>
      <c r="D11" s="68"/>
      <c r="E11" s="68"/>
      <c r="F11" s="68"/>
      <c r="G11" s="64"/>
      <c r="H11" s="64"/>
      <c r="I11" s="64"/>
      <c r="J11" s="64"/>
      <c r="K11" s="64"/>
      <c r="L11" s="64"/>
      <c r="M11" s="64"/>
      <c r="N11" s="76"/>
      <c r="O11" s="64"/>
      <c r="P11" s="64"/>
      <c r="Q11" s="64"/>
      <c r="R11" s="64"/>
      <c r="S11" s="64"/>
      <c r="T11" s="64"/>
      <c r="U11" s="64"/>
      <c r="V11" s="64"/>
      <c r="W11" s="64"/>
      <c r="X11" s="68"/>
      <c r="Y11" s="68"/>
      <c r="Z11" s="68"/>
      <c r="AA11" s="64"/>
      <c r="AB11" s="64"/>
      <c r="AC11" s="64"/>
      <c r="AD11" s="64"/>
      <c r="AE11" s="64"/>
      <c r="AF11" s="64"/>
      <c r="AG11" s="64"/>
      <c r="AH11" s="64"/>
      <c r="AI11" s="64"/>
      <c r="AJ11" s="68"/>
      <c r="AK11" s="68"/>
      <c r="AL11" s="68"/>
      <c r="AM11" s="64"/>
      <c r="AN11" s="64"/>
      <c r="AO11" s="64"/>
      <c r="AP11" s="64"/>
      <c r="AQ11" s="64"/>
      <c r="AR11" s="64"/>
      <c r="AS11" s="64"/>
      <c r="AT11" s="64"/>
      <c r="AU11" s="64"/>
      <c r="AV11" s="68"/>
      <c r="AW11" s="68"/>
      <c r="AX11" s="68"/>
      <c r="AY11" s="64"/>
      <c r="AZ11" s="64"/>
      <c r="BA11" s="64"/>
      <c r="BB11" s="64"/>
      <c r="BC11" s="64"/>
      <c r="BD11" s="64"/>
      <c r="BE11" s="64"/>
      <c r="BF11" s="64"/>
      <c r="BG11" s="64"/>
      <c r="BH11" s="68"/>
      <c r="BI11" s="68"/>
      <c r="BJ11" s="68"/>
    </row>
    <row r="12" spans="2:65" ht="13.5" customHeight="1">
      <c r="B12" s="64"/>
      <c r="C12" s="581" t="s">
        <v>162</v>
      </c>
      <c r="D12" s="581"/>
      <c r="E12" s="581"/>
      <c r="F12" s="581"/>
      <c r="G12" s="560">
        <v>20</v>
      </c>
      <c r="H12" s="560"/>
      <c r="I12" s="560"/>
      <c r="J12" s="581" t="s">
        <v>161</v>
      </c>
      <c r="K12" s="581"/>
      <c r="L12" s="581"/>
      <c r="M12" s="581"/>
      <c r="N12" s="76"/>
      <c r="O12" s="595">
        <f>SUM(AA12,AM12,AY12,O22,AE22,AU22,)</f>
        <v>2926451</v>
      </c>
      <c r="P12" s="595"/>
      <c r="Q12" s="595"/>
      <c r="R12" s="595"/>
      <c r="S12" s="595"/>
      <c r="T12" s="595"/>
      <c r="U12" s="658">
        <v>50186802</v>
      </c>
      <c r="V12" s="658"/>
      <c r="W12" s="658"/>
      <c r="X12" s="658"/>
      <c r="Y12" s="658"/>
      <c r="Z12" s="658"/>
      <c r="AA12" s="595">
        <v>33953</v>
      </c>
      <c r="AB12" s="595"/>
      <c r="AC12" s="595"/>
      <c r="AD12" s="595"/>
      <c r="AE12" s="595"/>
      <c r="AF12" s="595"/>
      <c r="AG12" s="658">
        <v>16060273</v>
      </c>
      <c r="AH12" s="658"/>
      <c r="AI12" s="658"/>
      <c r="AJ12" s="658"/>
      <c r="AK12" s="658"/>
      <c r="AL12" s="658"/>
      <c r="AM12" s="595">
        <v>1524115</v>
      </c>
      <c r="AN12" s="595"/>
      <c r="AO12" s="595"/>
      <c r="AP12" s="595"/>
      <c r="AQ12" s="595"/>
      <c r="AR12" s="595"/>
      <c r="AS12" s="658">
        <v>18257403</v>
      </c>
      <c r="AT12" s="658"/>
      <c r="AU12" s="658"/>
      <c r="AV12" s="658"/>
      <c r="AW12" s="658"/>
      <c r="AX12" s="658"/>
      <c r="AY12" s="595">
        <v>356713</v>
      </c>
      <c r="AZ12" s="595"/>
      <c r="BA12" s="595"/>
      <c r="BB12" s="595"/>
      <c r="BC12" s="595"/>
      <c r="BD12" s="595"/>
      <c r="BE12" s="595">
        <v>4751582</v>
      </c>
      <c r="BF12" s="595"/>
      <c r="BG12" s="595"/>
      <c r="BH12" s="595"/>
      <c r="BI12" s="595"/>
      <c r="BJ12" s="595"/>
      <c r="BM12" s="119"/>
    </row>
    <row r="13" spans="2:65" s="72" customFormat="1" ht="13.5" customHeight="1">
      <c r="B13" s="64"/>
      <c r="C13" s="64"/>
      <c r="D13" s="64"/>
      <c r="E13" s="68"/>
      <c r="F13" s="68"/>
      <c r="G13" s="560">
        <v>21</v>
      </c>
      <c r="H13" s="560"/>
      <c r="I13" s="560"/>
      <c r="J13" s="64"/>
      <c r="K13" s="64"/>
      <c r="L13" s="64"/>
      <c r="M13" s="64"/>
      <c r="N13" s="76"/>
      <c r="O13" s="595">
        <f>SUM(AA13,AM13,AY13,O23,AE23,AU23,)</f>
        <v>2929370</v>
      </c>
      <c r="P13" s="595"/>
      <c r="Q13" s="595"/>
      <c r="R13" s="595"/>
      <c r="S13" s="595"/>
      <c r="T13" s="595"/>
      <c r="U13" s="658">
        <v>50651048</v>
      </c>
      <c r="V13" s="658"/>
      <c r="W13" s="658"/>
      <c r="X13" s="658"/>
      <c r="Y13" s="658"/>
      <c r="Z13" s="658"/>
      <c r="AA13" s="595">
        <v>33137</v>
      </c>
      <c r="AB13" s="595"/>
      <c r="AC13" s="595"/>
      <c r="AD13" s="595"/>
      <c r="AE13" s="595"/>
      <c r="AF13" s="595"/>
      <c r="AG13" s="658">
        <v>16021546</v>
      </c>
      <c r="AH13" s="658"/>
      <c r="AI13" s="658"/>
      <c r="AJ13" s="658"/>
      <c r="AK13" s="658"/>
      <c r="AL13" s="658"/>
      <c r="AM13" s="595">
        <v>1518814</v>
      </c>
      <c r="AN13" s="595"/>
      <c r="AO13" s="595"/>
      <c r="AP13" s="595"/>
      <c r="AQ13" s="595"/>
      <c r="AR13" s="595"/>
      <c r="AS13" s="658">
        <v>18422064</v>
      </c>
      <c r="AT13" s="658"/>
      <c r="AU13" s="658"/>
      <c r="AV13" s="658"/>
      <c r="AW13" s="658"/>
      <c r="AX13" s="658"/>
      <c r="AY13" s="595">
        <v>356784</v>
      </c>
      <c r="AZ13" s="595"/>
      <c r="BA13" s="595"/>
      <c r="BB13" s="595"/>
      <c r="BC13" s="595"/>
      <c r="BD13" s="595"/>
      <c r="BE13" s="595">
        <v>4671758</v>
      </c>
      <c r="BF13" s="595"/>
      <c r="BG13" s="595"/>
      <c r="BH13" s="595"/>
      <c r="BI13" s="595"/>
      <c r="BJ13" s="595"/>
      <c r="BM13" s="118"/>
    </row>
    <row r="14" spans="2:65" ht="13.5" customHeight="1">
      <c r="B14" s="64"/>
      <c r="C14" s="64"/>
      <c r="D14" s="64"/>
      <c r="E14" s="68"/>
      <c r="F14" s="68"/>
      <c r="G14" s="560">
        <v>22</v>
      </c>
      <c r="H14" s="560"/>
      <c r="I14" s="560"/>
      <c r="J14" s="64"/>
      <c r="K14" s="64"/>
      <c r="L14" s="64"/>
      <c r="M14" s="64"/>
      <c r="N14" s="76"/>
      <c r="O14" s="595">
        <f>SUM(AA14,AM14,AY14,O24,AE24,AU24,)</f>
        <v>2912389</v>
      </c>
      <c r="P14" s="595"/>
      <c r="Q14" s="595"/>
      <c r="R14" s="595"/>
      <c r="S14" s="595"/>
      <c r="T14" s="595"/>
      <c r="U14" s="659">
        <v>51497294</v>
      </c>
      <c r="V14" s="659"/>
      <c r="W14" s="659"/>
      <c r="X14" s="659"/>
      <c r="Y14" s="659"/>
      <c r="Z14" s="659"/>
      <c r="AA14" s="595">
        <v>32492</v>
      </c>
      <c r="AB14" s="595"/>
      <c r="AC14" s="595"/>
      <c r="AD14" s="595"/>
      <c r="AE14" s="595"/>
      <c r="AF14" s="595"/>
      <c r="AG14" s="658">
        <v>16614199</v>
      </c>
      <c r="AH14" s="658"/>
      <c r="AI14" s="658"/>
      <c r="AJ14" s="658"/>
      <c r="AK14" s="658"/>
      <c r="AL14" s="658"/>
      <c r="AM14" s="595">
        <v>1491027</v>
      </c>
      <c r="AN14" s="595"/>
      <c r="AO14" s="595"/>
      <c r="AP14" s="595"/>
      <c r="AQ14" s="595"/>
      <c r="AR14" s="595"/>
      <c r="AS14" s="658">
        <v>18671316</v>
      </c>
      <c r="AT14" s="658"/>
      <c r="AU14" s="658"/>
      <c r="AV14" s="658"/>
      <c r="AW14" s="658"/>
      <c r="AX14" s="658"/>
      <c r="AY14" s="595">
        <v>356573</v>
      </c>
      <c r="AZ14" s="595"/>
      <c r="BA14" s="595"/>
      <c r="BB14" s="595"/>
      <c r="BC14" s="595"/>
      <c r="BD14" s="595"/>
      <c r="BE14" s="595">
        <v>4700926</v>
      </c>
      <c r="BF14" s="595"/>
      <c r="BG14" s="595"/>
      <c r="BH14" s="595"/>
      <c r="BI14" s="595"/>
      <c r="BJ14" s="595"/>
      <c r="BM14" s="119"/>
    </row>
    <row r="15" spans="2:65" ht="13.5" customHeight="1">
      <c r="B15" s="64"/>
      <c r="C15" s="64"/>
      <c r="D15" s="64"/>
      <c r="E15" s="68"/>
      <c r="F15" s="68"/>
      <c r="G15" s="560">
        <v>23</v>
      </c>
      <c r="H15" s="560"/>
      <c r="I15" s="560"/>
      <c r="J15" s="64"/>
      <c r="K15" s="64"/>
      <c r="L15" s="64"/>
      <c r="M15" s="64"/>
      <c r="N15" s="76"/>
      <c r="O15" s="595">
        <f>SUM(AA15,AM15,AY15,O25,AE25,AU25,)</f>
        <v>2912069</v>
      </c>
      <c r="P15" s="595"/>
      <c r="Q15" s="595"/>
      <c r="R15" s="595"/>
      <c r="S15" s="595"/>
      <c r="T15" s="595"/>
      <c r="U15" s="660">
        <v>52404164</v>
      </c>
      <c r="V15" s="660"/>
      <c r="W15" s="660"/>
      <c r="X15" s="660"/>
      <c r="Y15" s="660"/>
      <c r="Z15" s="660"/>
      <c r="AA15" s="564">
        <v>32287</v>
      </c>
      <c r="AB15" s="564"/>
      <c r="AC15" s="564"/>
      <c r="AD15" s="564"/>
      <c r="AE15" s="564"/>
      <c r="AF15" s="564"/>
      <c r="AG15" s="660">
        <v>16893240</v>
      </c>
      <c r="AH15" s="660"/>
      <c r="AI15" s="660"/>
      <c r="AJ15" s="660"/>
      <c r="AK15" s="660"/>
      <c r="AL15" s="660"/>
      <c r="AM15" s="564">
        <v>1477081</v>
      </c>
      <c r="AN15" s="564"/>
      <c r="AO15" s="564"/>
      <c r="AP15" s="564"/>
      <c r="AQ15" s="564"/>
      <c r="AR15" s="564"/>
      <c r="AS15" s="660">
        <v>18791384</v>
      </c>
      <c r="AT15" s="660"/>
      <c r="AU15" s="660"/>
      <c r="AV15" s="660"/>
      <c r="AW15" s="660"/>
      <c r="AX15" s="660"/>
      <c r="AY15" s="564">
        <v>358377</v>
      </c>
      <c r="AZ15" s="564"/>
      <c r="BA15" s="564"/>
      <c r="BB15" s="564"/>
      <c r="BC15" s="564"/>
      <c r="BD15" s="564"/>
      <c r="BE15" s="564">
        <v>4660142</v>
      </c>
      <c r="BF15" s="564"/>
      <c r="BG15" s="564"/>
      <c r="BH15" s="564"/>
      <c r="BI15" s="564"/>
      <c r="BJ15" s="564"/>
      <c r="BM15" s="119"/>
    </row>
    <row r="16" spans="2:65" s="72" customFormat="1" ht="13.5" customHeight="1">
      <c r="B16" s="73"/>
      <c r="C16" s="73"/>
      <c r="D16" s="73"/>
      <c r="E16" s="75"/>
      <c r="F16" s="75"/>
      <c r="G16" s="582">
        <v>24</v>
      </c>
      <c r="H16" s="582"/>
      <c r="I16" s="582"/>
      <c r="J16" s="73"/>
      <c r="K16" s="73"/>
      <c r="L16" s="73"/>
      <c r="M16" s="73"/>
      <c r="N16" s="74"/>
      <c r="O16" s="653">
        <f>SUM(AA16,AM16,AY16,O26,AE26,AU26,)</f>
        <v>2898741</v>
      </c>
      <c r="P16" s="653"/>
      <c r="Q16" s="653"/>
      <c r="R16" s="653"/>
      <c r="S16" s="653"/>
      <c r="T16" s="653"/>
      <c r="U16" s="661">
        <f>SUM(AG16,AS16,BE16,W26,AM26,BC26)</f>
        <v>52246573</v>
      </c>
      <c r="V16" s="661"/>
      <c r="W16" s="661"/>
      <c r="X16" s="661"/>
      <c r="Y16" s="661"/>
      <c r="Z16" s="661"/>
      <c r="AA16" s="653">
        <v>31374</v>
      </c>
      <c r="AB16" s="653"/>
      <c r="AC16" s="653"/>
      <c r="AD16" s="653"/>
      <c r="AE16" s="653"/>
      <c r="AF16" s="653"/>
      <c r="AG16" s="661">
        <v>17119211</v>
      </c>
      <c r="AH16" s="661"/>
      <c r="AI16" s="661"/>
      <c r="AJ16" s="661"/>
      <c r="AK16" s="661"/>
      <c r="AL16" s="661"/>
      <c r="AM16" s="653">
        <v>1463604</v>
      </c>
      <c r="AN16" s="653"/>
      <c r="AO16" s="653"/>
      <c r="AP16" s="653"/>
      <c r="AQ16" s="653"/>
      <c r="AR16" s="653"/>
      <c r="AS16" s="661">
        <v>18647816</v>
      </c>
      <c r="AT16" s="661"/>
      <c r="AU16" s="661"/>
      <c r="AV16" s="661"/>
      <c r="AW16" s="661"/>
      <c r="AX16" s="661"/>
      <c r="AY16" s="653">
        <v>360488</v>
      </c>
      <c r="AZ16" s="653"/>
      <c r="BA16" s="653"/>
      <c r="BB16" s="653"/>
      <c r="BC16" s="653"/>
      <c r="BD16" s="653"/>
      <c r="BE16" s="653">
        <v>4628337</v>
      </c>
      <c r="BF16" s="653"/>
      <c r="BG16" s="653"/>
      <c r="BH16" s="653"/>
      <c r="BI16" s="653"/>
      <c r="BJ16" s="653"/>
      <c r="BM16" s="118"/>
    </row>
    <row r="17" spans="2:62" ht="13.5" customHeight="1">
      <c r="B17" s="69"/>
      <c r="C17" s="69"/>
      <c r="D17" s="69"/>
      <c r="E17" s="71"/>
      <c r="F17" s="71"/>
      <c r="G17" s="71"/>
      <c r="H17" s="71"/>
      <c r="I17" s="69"/>
      <c r="J17" s="69"/>
      <c r="K17" s="69"/>
      <c r="L17" s="69"/>
      <c r="M17" s="69"/>
      <c r="N17" s="70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</row>
    <row r="18" spans="2:62" ht="18" customHeight="1">
      <c r="B18" s="565" t="s">
        <v>1</v>
      </c>
      <c r="C18" s="561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1"/>
      <c r="O18" s="561" t="s">
        <v>227</v>
      </c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61"/>
      <c r="AD18" s="561"/>
      <c r="AE18" s="561" t="s">
        <v>221</v>
      </c>
      <c r="AF18" s="561"/>
      <c r="AG18" s="561"/>
      <c r="AH18" s="561"/>
      <c r="AI18" s="561"/>
      <c r="AJ18" s="561"/>
      <c r="AK18" s="561"/>
      <c r="AL18" s="561"/>
      <c r="AM18" s="561"/>
      <c r="AN18" s="561"/>
      <c r="AO18" s="561"/>
      <c r="AP18" s="561"/>
      <c r="AQ18" s="561"/>
      <c r="AR18" s="561"/>
      <c r="AS18" s="561"/>
      <c r="AT18" s="561"/>
      <c r="AU18" s="561" t="s">
        <v>226</v>
      </c>
      <c r="AV18" s="561"/>
      <c r="AW18" s="561"/>
      <c r="AX18" s="561"/>
      <c r="AY18" s="561"/>
      <c r="AZ18" s="561"/>
      <c r="BA18" s="561"/>
      <c r="BB18" s="561"/>
      <c r="BC18" s="561"/>
      <c r="BD18" s="561"/>
      <c r="BE18" s="561"/>
      <c r="BF18" s="561"/>
      <c r="BG18" s="561"/>
      <c r="BH18" s="561"/>
      <c r="BI18" s="561"/>
      <c r="BJ18" s="579"/>
    </row>
    <row r="19" spans="2:62" ht="18" customHeight="1">
      <c r="B19" s="566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 t="s">
        <v>177</v>
      </c>
      <c r="P19" s="562"/>
      <c r="Q19" s="562"/>
      <c r="R19" s="562"/>
      <c r="S19" s="562"/>
      <c r="T19" s="562"/>
      <c r="U19" s="562"/>
      <c r="V19" s="562"/>
      <c r="W19" s="562" t="s">
        <v>176</v>
      </c>
      <c r="X19" s="562"/>
      <c r="Y19" s="562"/>
      <c r="Z19" s="562"/>
      <c r="AA19" s="562"/>
      <c r="AB19" s="562"/>
      <c r="AC19" s="562"/>
      <c r="AD19" s="562"/>
      <c r="AE19" s="562" t="s">
        <v>177</v>
      </c>
      <c r="AF19" s="562"/>
      <c r="AG19" s="562"/>
      <c r="AH19" s="562"/>
      <c r="AI19" s="562"/>
      <c r="AJ19" s="562"/>
      <c r="AK19" s="562"/>
      <c r="AL19" s="562"/>
      <c r="AM19" s="562" t="s">
        <v>176</v>
      </c>
      <c r="AN19" s="562"/>
      <c r="AO19" s="562"/>
      <c r="AP19" s="562"/>
      <c r="AQ19" s="562"/>
      <c r="AR19" s="562"/>
      <c r="AS19" s="562"/>
      <c r="AT19" s="562"/>
      <c r="AU19" s="562" t="s">
        <v>177</v>
      </c>
      <c r="AV19" s="562"/>
      <c r="AW19" s="562"/>
      <c r="AX19" s="562"/>
      <c r="AY19" s="562"/>
      <c r="AZ19" s="562"/>
      <c r="BA19" s="562"/>
      <c r="BB19" s="562"/>
      <c r="BC19" s="562" t="s">
        <v>176</v>
      </c>
      <c r="BD19" s="562"/>
      <c r="BE19" s="562"/>
      <c r="BF19" s="562"/>
      <c r="BG19" s="562"/>
      <c r="BH19" s="562"/>
      <c r="BI19" s="562"/>
      <c r="BJ19" s="580"/>
    </row>
    <row r="20" spans="2:62" ht="13.5" customHeight="1">
      <c r="B20" s="64"/>
      <c r="C20" s="68"/>
      <c r="D20" s="68"/>
      <c r="E20" s="68"/>
      <c r="F20" s="68"/>
      <c r="G20" s="64"/>
      <c r="H20" s="64"/>
      <c r="I20" s="64"/>
      <c r="J20" s="64"/>
      <c r="K20" s="64"/>
      <c r="L20" s="64"/>
      <c r="M20" s="64"/>
      <c r="N20" s="7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560" t="s">
        <v>157</v>
      </c>
      <c r="AC20" s="560"/>
      <c r="AD20" s="560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560" t="s">
        <v>157</v>
      </c>
      <c r="AS20" s="560"/>
      <c r="AT20" s="560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560" t="s">
        <v>157</v>
      </c>
      <c r="BI20" s="560"/>
      <c r="BJ20" s="560"/>
    </row>
    <row r="21" spans="2:62" ht="13.5" customHeight="1">
      <c r="B21" s="64"/>
      <c r="C21" s="68"/>
      <c r="D21" s="68"/>
      <c r="E21" s="68"/>
      <c r="F21" s="68"/>
      <c r="G21" s="64"/>
      <c r="H21" s="64"/>
      <c r="I21" s="64"/>
      <c r="J21" s="64"/>
      <c r="K21" s="64"/>
      <c r="L21" s="64"/>
      <c r="M21" s="64"/>
      <c r="N21" s="76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8"/>
      <c r="AC21" s="68"/>
      <c r="AD21" s="68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8"/>
      <c r="AS21" s="68"/>
      <c r="AT21" s="68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8"/>
      <c r="BI21" s="68"/>
      <c r="BJ21" s="68"/>
    </row>
    <row r="22" spans="2:62" ht="13.5" customHeight="1">
      <c r="B22" s="64"/>
      <c r="C22" s="581" t="s">
        <v>162</v>
      </c>
      <c r="D22" s="581"/>
      <c r="E22" s="581"/>
      <c r="F22" s="581"/>
      <c r="G22" s="560">
        <v>20</v>
      </c>
      <c r="H22" s="560"/>
      <c r="I22" s="560"/>
      <c r="J22" s="581" t="s">
        <v>161</v>
      </c>
      <c r="K22" s="581"/>
      <c r="L22" s="581"/>
      <c r="M22" s="581"/>
      <c r="N22" s="76"/>
      <c r="O22" s="595">
        <v>977777</v>
      </c>
      <c r="P22" s="595"/>
      <c r="Q22" s="595"/>
      <c r="R22" s="595"/>
      <c r="S22" s="595"/>
      <c r="T22" s="595"/>
      <c r="U22" s="595"/>
      <c r="V22" s="595"/>
      <c r="W22" s="595">
        <v>10096198</v>
      </c>
      <c r="X22" s="595"/>
      <c r="Y22" s="595"/>
      <c r="Z22" s="595"/>
      <c r="AA22" s="595"/>
      <c r="AB22" s="595"/>
      <c r="AC22" s="595"/>
      <c r="AD22" s="595"/>
      <c r="AE22" s="595">
        <v>31870</v>
      </c>
      <c r="AF22" s="595"/>
      <c r="AG22" s="595"/>
      <c r="AH22" s="595"/>
      <c r="AI22" s="595"/>
      <c r="AJ22" s="595"/>
      <c r="AK22" s="595"/>
      <c r="AL22" s="595"/>
      <c r="AM22" s="595">
        <v>895767</v>
      </c>
      <c r="AN22" s="595"/>
      <c r="AO22" s="595"/>
      <c r="AP22" s="595"/>
      <c r="AQ22" s="595"/>
      <c r="AR22" s="595"/>
      <c r="AS22" s="595"/>
      <c r="AT22" s="595"/>
      <c r="AU22" s="595">
        <v>2023</v>
      </c>
      <c r="AV22" s="595"/>
      <c r="AW22" s="595"/>
      <c r="AX22" s="595"/>
      <c r="AY22" s="595"/>
      <c r="AZ22" s="595"/>
      <c r="BA22" s="595"/>
      <c r="BB22" s="595"/>
      <c r="BC22" s="595">
        <v>125579</v>
      </c>
      <c r="BD22" s="595"/>
      <c r="BE22" s="595"/>
      <c r="BF22" s="595"/>
      <c r="BG22" s="595"/>
      <c r="BH22" s="595"/>
      <c r="BI22" s="595"/>
      <c r="BJ22" s="595"/>
    </row>
    <row r="23" spans="2:62" s="72" customFormat="1" ht="13.5" customHeight="1">
      <c r="B23" s="64"/>
      <c r="C23" s="64"/>
      <c r="D23" s="64"/>
      <c r="E23" s="68"/>
      <c r="F23" s="68"/>
      <c r="G23" s="560">
        <v>21</v>
      </c>
      <c r="H23" s="560"/>
      <c r="I23" s="560"/>
      <c r="J23" s="64"/>
      <c r="K23" s="64"/>
      <c r="L23" s="64"/>
      <c r="M23" s="64"/>
      <c r="N23" s="76"/>
      <c r="O23" s="595">
        <v>987396</v>
      </c>
      <c r="P23" s="595"/>
      <c r="Q23" s="595"/>
      <c r="R23" s="595"/>
      <c r="S23" s="595"/>
      <c r="T23" s="595"/>
      <c r="U23" s="595"/>
      <c r="V23" s="595"/>
      <c r="W23" s="595">
        <v>10525316</v>
      </c>
      <c r="X23" s="595"/>
      <c r="Y23" s="595"/>
      <c r="Z23" s="595"/>
      <c r="AA23" s="595"/>
      <c r="AB23" s="595"/>
      <c r="AC23" s="595"/>
      <c r="AD23" s="595"/>
      <c r="AE23" s="595">
        <v>31062</v>
      </c>
      <c r="AF23" s="595"/>
      <c r="AG23" s="595"/>
      <c r="AH23" s="595"/>
      <c r="AI23" s="595"/>
      <c r="AJ23" s="595"/>
      <c r="AK23" s="595"/>
      <c r="AL23" s="595"/>
      <c r="AM23" s="595">
        <v>876553</v>
      </c>
      <c r="AN23" s="595"/>
      <c r="AO23" s="595"/>
      <c r="AP23" s="595"/>
      <c r="AQ23" s="595"/>
      <c r="AR23" s="595"/>
      <c r="AS23" s="595"/>
      <c r="AT23" s="595"/>
      <c r="AU23" s="595">
        <v>2177</v>
      </c>
      <c r="AV23" s="595"/>
      <c r="AW23" s="595"/>
      <c r="AX23" s="595"/>
      <c r="AY23" s="595"/>
      <c r="AZ23" s="595"/>
      <c r="BA23" s="595"/>
      <c r="BB23" s="595"/>
      <c r="BC23" s="595">
        <v>133811</v>
      </c>
      <c r="BD23" s="595"/>
      <c r="BE23" s="595"/>
      <c r="BF23" s="595"/>
      <c r="BG23" s="595"/>
      <c r="BH23" s="595"/>
      <c r="BI23" s="595"/>
      <c r="BJ23" s="595"/>
    </row>
    <row r="24" spans="2:62" ht="13.5" customHeight="1">
      <c r="B24" s="64"/>
      <c r="C24" s="64"/>
      <c r="D24" s="64"/>
      <c r="E24" s="68"/>
      <c r="F24" s="68"/>
      <c r="G24" s="560">
        <v>22</v>
      </c>
      <c r="H24" s="560"/>
      <c r="I24" s="560"/>
      <c r="J24" s="64"/>
      <c r="K24" s="64"/>
      <c r="L24" s="64"/>
      <c r="M24" s="64"/>
      <c r="N24" s="76"/>
      <c r="O24" s="595">
        <v>999407</v>
      </c>
      <c r="P24" s="595"/>
      <c r="Q24" s="595"/>
      <c r="R24" s="595"/>
      <c r="S24" s="595"/>
      <c r="T24" s="595"/>
      <c r="U24" s="595"/>
      <c r="V24" s="595"/>
      <c r="W24" s="595">
        <v>10509802</v>
      </c>
      <c r="X24" s="595"/>
      <c r="Y24" s="595"/>
      <c r="Z24" s="595"/>
      <c r="AA24" s="595"/>
      <c r="AB24" s="595"/>
      <c r="AC24" s="595"/>
      <c r="AD24" s="595"/>
      <c r="AE24" s="595">
        <v>30580</v>
      </c>
      <c r="AF24" s="595"/>
      <c r="AG24" s="595"/>
      <c r="AH24" s="595"/>
      <c r="AI24" s="595"/>
      <c r="AJ24" s="595"/>
      <c r="AK24" s="595"/>
      <c r="AL24" s="595"/>
      <c r="AM24" s="595">
        <v>851557</v>
      </c>
      <c r="AN24" s="595"/>
      <c r="AO24" s="595"/>
      <c r="AP24" s="595"/>
      <c r="AQ24" s="595"/>
      <c r="AR24" s="595"/>
      <c r="AS24" s="595"/>
      <c r="AT24" s="595"/>
      <c r="AU24" s="595">
        <v>2310</v>
      </c>
      <c r="AV24" s="595"/>
      <c r="AW24" s="595"/>
      <c r="AX24" s="595"/>
      <c r="AY24" s="595"/>
      <c r="AZ24" s="595"/>
      <c r="BA24" s="595"/>
      <c r="BB24" s="595"/>
      <c r="BC24" s="595">
        <v>149494</v>
      </c>
      <c r="BD24" s="595"/>
      <c r="BE24" s="595"/>
      <c r="BF24" s="595"/>
      <c r="BG24" s="595"/>
      <c r="BH24" s="595"/>
      <c r="BI24" s="595"/>
      <c r="BJ24" s="595"/>
    </row>
    <row r="25" spans="2:62" ht="13.5" customHeight="1">
      <c r="B25" s="64"/>
      <c r="C25" s="64"/>
      <c r="D25" s="64"/>
      <c r="E25" s="68"/>
      <c r="F25" s="68"/>
      <c r="G25" s="560">
        <v>23</v>
      </c>
      <c r="H25" s="560"/>
      <c r="I25" s="560"/>
      <c r="J25" s="64"/>
      <c r="K25" s="64"/>
      <c r="L25" s="64"/>
      <c r="M25" s="64"/>
      <c r="N25" s="76"/>
      <c r="O25" s="595">
        <v>1011217</v>
      </c>
      <c r="P25" s="595"/>
      <c r="Q25" s="595"/>
      <c r="R25" s="595"/>
      <c r="S25" s="595"/>
      <c r="T25" s="595"/>
      <c r="U25" s="595"/>
      <c r="V25" s="595"/>
      <c r="W25" s="595">
        <v>11065808</v>
      </c>
      <c r="X25" s="595"/>
      <c r="Y25" s="595"/>
      <c r="Z25" s="595"/>
      <c r="AA25" s="595"/>
      <c r="AB25" s="595"/>
      <c r="AC25" s="595"/>
      <c r="AD25" s="595"/>
      <c r="AE25" s="595">
        <v>30477</v>
      </c>
      <c r="AF25" s="595"/>
      <c r="AG25" s="595"/>
      <c r="AH25" s="595"/>
      <c r="AI25" s="595"/>
      <c r="AJ25" s="595"/>
      <c r="AK25" s="595"/>
      <c r="AL25" s="595"/>
      <c r="AM25" s="595">
        <v>824584</v>
      </c>
      <c r="AN25" s="595"/>
      <c r="AO25" s="595"/>
      <c r="AP25" s="595"/>
      <c r="AQ25" s="595"/>
      <c r="AR25" s="595"/>
      <c r="AS25" s="595"/>
      <c r="AT25" s="595"/>
      <c r="AU25" s="595">
        <v>2630</v>
      </c>
      <c r="AV25" s="595"/>
      <c r="AW25" s="595"/>
      <c r="AX25" s="595"/>
      <c r="AY25" s="595"/>
      <c r="AZ25" s="595"/>
      <c r="BA25" s="595"/>
      <c r="BB25" s="595"/>
      <c r="BC25" s="595">
        <v>169006</v>
      </c>
      <c r="BD25" s="595"/>
      <c r="BE25" s="595"/>
      <c r="BF25" s="595"/>
      <c r="BG25" s="595"/>
      <c r="BH25" s="595"/>
      <c r="BI25" s="595"/>
      <c r="BJ25" s="595"/>
    </row>
    <row r="26" spans="2:62" s="72" customFormat="1" ht="13.5" customHeight="1">
      <c r="B26" s="73"/>
      <c r="C26" s="73"/>
      <c r="D26" s="73"/>
      <c r="E26" s="75"/>
      <c r="F26" s="75"/>
      <c r="G26" s="582">
        <v>24</v>
      </c>
      <c r="H26" s="582"/>
      <c r="I26" s="582"/>
      <c r="J26" s="73"/>
      <c r="K26" s="73"/>
      <c r="L26" s="73"/>
      <c r="M26" s="73"/>
      <c r="N26" s="74"/>
      <c r="O26" s="653">
        <v>1010735</v>
      </c>
      <c r="P26" s="653"/>
      <c r="Q26" s="653"/>
      <c r="R26" s="653"/>
      <c r="S26" s="653"/>
      <c r="T26" s="653"/>
      <c r="U26" s="653"/>
      <c r="V26" s="653"/>
      <c r="W26" s="653">
        <v>10854218</v>
      </c>
      <c r="X26" s="653"/>
      <c r="Y26" s="653"/>
      <c r="Z26" s="653"/>
      <c r="AA26" s="653"/>
      <c r="AB26" s="653"/>
      <c r="AC26" s="653"/>
      <c r="AD26" s="653"/>
      <c r="AE26" s="653">
        <v>29583</v>
      </c>
      <c r="AF26" s="653"/>
      <c r="AG26" s="653"/>
      <c r="AH26" s="653"/>
      <c r="AI26" s="653"/>
      <c r="AJ26" s="653"/>
      <c r="AK26" s="653"/>
      <c r="AL26" s="653"/>
      <c r="AM26" s="653">
        <v>807814</v>
      </c>
      <c r="AN26" s="653"/>
      <c r="AO26" s="653"/>
      <c r="AP26" s="653"/>
      <c r="AQ26" s="653"/>
      <c r="AR26" s="653"/>
      <c r="AS26" s="653"/>
      <c r="AT26" s="653"/>
      <c r="AU26" s="653">
        <v>2957</v>
      </c>
      <c r="AV26" s="653"/>
      <c r="AW26" s="653"/>
      <c r="AX26" s="653"/>
      <c r="AY26" s="653"/>
      <c r="AZ26" s="653"/>
      <c r="BA26" s="653"/>
      <c r="BB26" s="653"/>
      <c r="BC26" s="653">
        <v>189177</v>
      </c>
      <c r="BD26" s="653"/>
      <c r="BE26" s="653"/>
      <c r="BF26" s="653"/>
      <c r="BG26" s="653"/>
      <c r="BH26" s="653"/>
      <c r="BI26" s="653"/>
      <c r="BJ26" s="653"/>
    </row>
    <row r="27" spans="2:62" ht="13.5" customHeight="1">
      <c r="B27" s="69"/>
      <c r="C27" s="69"/>
      <c r="D27" s="69"/>
      <c r="E27" s="71"/>
      <c r="F27" s="71"/>
      <c r="G27" s="71"/>
      <c r="H27" s="71"/>
      <c r="I27" s="69"/>
      <c r="J27" s="69"/>
      <c r="K27" s="69"/>
      <c r="L27" s="69"/>
      <c r="M27" s="69"/>
      <c r="N27" s="70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</row>
    <row r="28" spans="2:62" ht="13.5" customHeight="1">
      <c r="C28" s="576" t="s">
        <v>8</v>
      </c>
      <c r="D28" s="576"/>
      <c r="E28" s="66" t="s">
        <v>170</v>
      </c>
      <c r="F28" s="61" t="s">
        <v>225</v>
      </c>
      <c r="G28" s="117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</row>
    <row r="29" spans="2:62" ht="13.5" customHeight="1">
      <c r="B29" s="577" t="s">
        <v>9</v>
      </c>
      <c r="C29" s="577"/>
      <c r="D29" s="577"/>
      <c r="E29" s="66" t="s">
        <v>170</v>
      </c>
      <c r="F29" s="61" t="s">
        <v>158</v>
      </c>
    </row>
    <row r="30" spans="2:62" ht="13.5" customHeight="1">
      <c r="B30" s="67"/>
      <c r="C30" s="67"/>
      <c r="D30" s="67"/>
      <c r="E30" s="66"/>
      <c r="AA30" s="64"/>
    </row>
    <row r="31" spans="2:62" ht="13.5" customHeight="1"/>
    <row r="32" spans="2:62" ht="12.95" customHeight="1">
      <c r="B32" s="560" t="s">
        <v>224</v>
      </c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0"/>
      <c r="U32" s="560"/>
      <c r="V32" s="560"/>
      <c r="W32" s="560"/>
      <c r="X32" s="560"/>
      <c r="Y32" s="560"/>
      <c r="Z32" s="560"/>
      <c r="AA32" s="560"/>
      <c r="AB32" s="560"/>
      <c r="AC32" s="560"/>
      <c r="AD32" s="560"/>
      <c r="AE32" s="560"/>
      <c r="AF32" s="560"/>
      <c r="AG32" s="560"/>
      <c r="AH32" s="560"/>
      <c r="AI32" s="560"/>
      <c r="AJ32" s="560"/>
      <c r="AK32" s="560"/>
      <c r="AL32" s="560"/>
      <c r="AM32" s="560"/>
      <c r="AN32" s="560"/>
      <c r="AO32" s="560"/>
      <c r="AP32" s="560"/>
      <c r="AQ32" s="560"/>
      <c r="AR32" s="560"/>
      <c r="AS32" s="560"/>
      <c r="AT32" s="560"/>
      <c r="AU32" s="560"/>
      <c r="AV32" s="560"/>
      <c r="AW32" s="560"/>
      <c r="AX32" s="560"/>
      <c r="AY32" s="560"/>
      <c r="AZ32" s="560"/>
      <c r="BA32" s="560"/>
      <c r="BB32" s="560"/>
      <c r="BC32" s="560"/>
      <c r="BD32" s="560"/>
      <c r="BE32" s="560"/>
      <c r="BF32" s="560"/>
      <c r="BG32" s="560"/>
      <c r="BH32" s="560"/>
      <c r="BI32" s="560"/>
      <c r="BJ32" s="560"/>
    </row>
    <row r="33" spans="2:66" ht="12.95" customHeight="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</row>
    <row r="34" spans="2:66" ht="18" customHeight="1">
      <c r="B34" s="565" t="s">
        <v>1</v>
      </c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 t="s">
        <v>223</v>
      </c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561"/>
      <c r="AA34" s="561" t="s">
        <v>222</v>
      </c>
      <c r="AB34" s="561"/>
      <c r="AC34" s="561"/>
      <c r="AD34" s="561"/>
      <c r="AE34" s="561"/>
      <c r="AF34" s="561"/>
      <c r="AG34" s="561"/>
      <c r="AH34" s="561"/>
      <c r="AI34" s="561"/>
      <c r="AJ34" s="561"/>
      <c r="AK34" s="561"/>
      <c r="AL34" s="561"/>
      <c r="AM34" s="561" t="s">
        <v>221</v>
      </c>
      <c r="AN34" s="561"/>
      <c r="AO34" s="561"/>
      <c r="AP34" s="561"/>
      <c r="AQ34" s="561"/>
      <c r="AR34" s="561"/>
      <c r="AS34" s="561"/>
      <c r="AT34" s="561"/>
      <c r="AU34" s="561"/>
      <c r="AV34" s="561"/>
      <c r="AW34" s="561"/>
      <c r="AX34" s="561"/>
      <c r="AY34" s="561" t="s">
        <v>220</v>
      </c>
      <c r="AZ34" s="561"/>
      <c r="BA34" s="561"/>
      <c r="BB34" s="561"/>
      <c r="BC34" s="561"/>
      <c r="BD34" s="561"/>
      <c r="BE34" s="561"/>
      <c r="BF34" s="561"/>
      <c r="BG34" s="561"/>
      <c r="BH34" s="561"/>
      <c r="BI34" s="561"/>
      <c r="BJ34" s="579"/>
    </row>
    <row r="35" spans="2:66" ht="18" customHeight="1">
      <c r="B35" s="566"/>
      <c r="C35" s="562"/>
      <c r="D35" s="562"/>
      <c r="E35" s="562"/>
      <c r="F35" s="562"/>
      <c r="G35" s="562"/>
      <c r="H35" s="562"/>
      <c r="I35" s="562"/>
      <c r="J35" s="562"/>
      <c r="K35" s="562"/>
      <c r="L35" s="562"/>
      <c r="M35" s="562"/>
      <c r="N35" s="562"/>
      <c r="O35" s="562" t="s">
        <v>177</v>
      </c>
      <c r="P35" s="562"/>
      <c r="Q35" s="562"/>
      <c r="R35" s="562"/>
      <c r="S35" s="562"/>
      <c r="T35" s="562" t="s">
        <v>176</v>
      </c>
      <c r="U35" s="562"/>
      <c r="V35" s="562"/>
      <c r="W35" s="562"/>
      <c r="X35" s="562"/>
      <c r="Y35" s="562"/>
      <c r="Z35" s="562"/>
      <c r="AA35" s="562" t="s">
        <v>177</v>
      </c>
      <c r="AB35" s="562"/>
      <c r="AC35" s="562"/>
      <c r="AD35" s="562"/>
      <c r="AE35" s="562"/>
      <c r="AF35" s="562" t="s">
        <v>176</v>
      </c>
      <c r="AG35" s="562"/>
      <c r="AH35" s="562"/>
      <c r="AI35" s="562"/>
      <c r="AJ35" s="562"/>
      <c r="AK35" s="562"/>
      <c r="AL35" s="562"/>
      <c r="AM35" s="562" t="s">
        <v>177</v>
      </c>
      <c r="AN35" s="562"/>
      <c r="AO35" s="562"/>
      <c r="AP35" s="562"/>
      <c r="AQ35" s="562"/>
      <c r="AR35" s="562" t="s">
        <v>176</v>
      </c>
      <c r="AS35" s="562"/>
      <c r="AT35" s="562"/>
      <c r="AU35" s="562"/>
      <c r="AV35" s="562"/>
      <c r="AW35" s="562"/>
      <c r="AX35" s="562"/>
      <c r="AY35" s="562" t="s">
        <v>177</v>
      </c>
      <c r="AZ35" s="562"/>
      <c r="BA35" s="562"/>
      <c r="BB35" s="562"/>
      <c r="BC35" s="562"/>
      <c r="BD35" s="562" t="s">
        <v>176</v>
      </c>
      <c r="BE35" s="562"/>
      <c r="BF35" s="562"/>
      <c r="BG35" s="562"/>
      <c r="BH35" s="562"/>
      <c r="BI35" s="562"/>
      <c r="BJ35" s="580"/>
    </row>
    <row r="36" spans="2:66" ht="13.5" customHeight="1">
      <c r="B36" s="64"/>
      <c r="C36" s="68"/>
      <c r="D36" s="68"/>
      <c r="E36" s="68"/>
      <c r="F36" s="68"/>
      <c r="G36" s="64"/>
      <c r="H36" s="64"/>
      <c r="I36" s="64"/>
      <c r="J36" s="64"/>
      <c r="K36" s="64"/>
      <c r="L36" s="64"/>
      <c r="M36" s="64"/>
      <c r="N36" s="78"/>
      <c r="O36" s="64"/>
      <c r="P36" s="64"/>
      <c r="Q36" s="64"/>
      <c r="R36" s="64"/>
      <c r="S36" s="64"/>
      <c r="T36" s="64"/>
      <c r="X36" s="560" t="s">
        <v>157</v>
      </c>
      <c r="Y36" s="560"/>
      <c r="Z36" s="560"/>
      <c r="AJ36" s="560" t="s">
        <v>157</v>
      </c>
      <c r="AK36" s="560"/>
      <c r="AL36" s="560"/>
      <c r="AV36" s="560" t="s">
        <v>157</v>
      </c>
      <c r="AW36" s="560"/>
      <c r="AX36" s="560"/>
      <c r="BH36" s="560" t="s">
        <v>157</v>
      </c>
      <c r="BI36" s="560"/>
      <c r="BJ36" s="560"/>
    </row>
    <row r="37" spans="2:66" ht="13.5" customHeight="1">
      <c r="B37" s="64"/>
      <c r="C37" s="68"/>
      <c r="D37" s="68"/>
      <c r="E37" s="68"/>
      <c r="F37" s="68"/>
      <c r="G37" s="64"/>
      <c r="H37" s="64"/>
      <c r="I37" s="64"/>
      <c r="J37" s="64"/>
      <c r="K37" s="64"/>
      <c r="L37" s="64"/>
      <c r="M37" s="64"/>
      <c r="N37" s="76"/>
      <c r="O37" s="64"/>
      <c r="P37" s="64"/>
      <c r="Q37" s="64"/>
      <c r="R37" s="64"/>
      <c r="S37" s="64"/>
      <c r="T37" s="64"/>
      <c r="X37" s="68"/>
      <c r="Y37" s="68"/>
      <c r="Z37" s="68"/>
      <c r="AJ37" s="68"/>
      <c r="AK37" s="68"/>
      <c r="AL37" s="68"/>
      <c r="AV37" s="68"/>
      <c r="AW37" s="68"/>
      <c r="AX37" s="68"/>
      <c r="BH37" s="68"/>
      <c r="BI37" s="68"/>
      <c r="BJ37" s="68"/>
    </row>
    <row r="38" spans="2:66" ht="13.5" customHeight="1">
      <c r="B38" s="73"/>
      <c r="C38" s="560" t="s">
        <v>215</v>
      </c>
      <c r="D38" s="662"/>
      <c r="E38" s="662"/>
      <c r="F38" s="662"/>
      <c r="G38" s="560">
        <v>20</v>
      </c>
      <c r="H38" s="560"/>
      <c r="I38" s="560"/>
      <c r="J38" s="560" t="s">
        <v>214</v>
      </c>
      <c r="K38" s="560"/>
      <c r="L38" s="560"/>
      <c r="M38" s="560"/>
      <c r="N38" s="74"/>
      <c r="O38" s="652">
        <f>AA38+AM38+AY38+O48+AA48+AM48+AY48</f>
        <v>95495</v>
      </c>
      <c r="P38" s="652"/>
      <c r="Q38" s="652"/>
      <c r="R38" s="652"/>
      <c r="S38" s="652"/>
      <c r="T38" s="652">
        <v>867905</v>
      </c>
      <c r="U38" s="652"/>
      <c r="V38" s="652"/>
      <c r="W38" s="652"/>
      <c r="X38" s="652"/>
      <c r="Y38" s="652"/>
      <c r="Z38" s="652"/>
      <c r="AA38" s="652">
        <v>1358</v>
      </c>
      <c r="AB38" s="652"/>
      <c r="AC38" s="652"/>
      <c r="AD38" s="652"/>
      <c r="AE38" s="652"/>
      <c r="AF38" s="652">
        <v>17564</v>
      </c>
      <c r="AG38" s="652"/>
      <c r="AH38" s="652"/>
      <c r="AI38" s="652"/>
      <c r="AJ38" s="652"/>
      <c r="AK38" s="652"/>
      <c r="AL38" s="652"/>
      <c r="AM38" s="652">
        <v>144</v>
      </c>
      <c r="AN38" s="652"/>
      <c r="AO38" s="652"/>
      <c r="AP38" s="652"/>
      <c r="AQ38" s="652"/>
      <c r="AR38" s="652">
        <v>1440</v>
      </c>
      <c r="AS38" s="652"/>
      <c r="AT38" s="652"/>
      <c r="AU38" s="652"/>
      <c r="AV38" s="652"/>
      <c r="AW38" s="652"/>
      <c r="AX38" s="652"/>
      <c r="AY38" s="652">
        <v>9</v>
      </c>
      <c r="AZ38" s="652"/>
      <c r="BA38" s="652"/>
      <c r="BB38" s="652"/>
      <c r="BC38" s="652"/>
      <c r="BD38" s="652">
        <v>235</v>
      </c>
      <c r="BE38" s="652"/>
      <c r="BF38" s="652"/>
      <c r="BG38" s="652"/>
      <c r="BH38" s="652"/>
      <c r="BI38" s="652"/>
      <c r="BJ38" s="652"/>
      <c r="BM38" s="116"/>
    </row>
    <row r="39" spans="2:66" s="72" customFormat="1" ht="13.5" customHeight="1">
      <c r="B39" s="64"/>
      <c r="C39" s="64"/>
      <c r="D39" s="64"/>
      <c r="E39" s="68"/>
      <c r="F39" s="68"/>
      <c r="G39" s="560">
        <v>21</v>
      </c>
      <c r="H39" s="560"/>
      <c r="I39" s="560"/>
      <c r="J39" s="64"/>
      <c r="K39" s="64"/>
      <c r="L39" s="64"/>
      <c r="M39" s="64"/>
      <c r="N39" s="76"/>
      <c r="O39" s="652">
        <f>AA39+AM39+AY39+O49+AA49+AM49+AY49</f>
        <v>116017</v>
      </c>
      <c r="P39" s="652"/>
      <c r="Q39" s="652"/>
      <c r="R39" s="652"/>
      <c r="S39" s="652"/>
      <c r="T39" s="652">
        <v>938697</v>
      </c>
      <c r="U39" s="652"/>
      <c r="V39" s="652"/>
      <c r="W39" s="652"/>
      <c r="X39" s="652"/>
      <c r="Y39" s="652"/>
      <c r="Z39" s="652"/>
      <c r="AA39" s="652">
        <v>1408</v>
      </c>
      <c r="AB39" s="652"/>
      <c r="AC39" s="652"/>
      <c r="AD39" s="652"/>
      <c r="AE39" s="652"/>
      <c r="AF39" s="652">
        <v>13285</v>
      </c>
      <c r="AG39" s="652"/>
      <c r="AH39" s="652"/>
      <c r="AI39" s="652"/>
      <c r="AJ39" s="652"/>
      <c r="AK39" s="652"/>
      <c r="AL39" s="652"/>
      <c r="AM39" s="652">
        <v>62</v>
      </c>
      <c r="AN39" s="652"/>
      <c r="AO39" s="652"/>
      <c r="AP39" s="652"/>
      <c r="AQ39" s="652"/>
      <c r="AR39" s="652">
        <v>473</v>
      </c>
      <c r="AS39" s="652"/>
      <c r="AT39" s="652"/>
      <c r="AU39" s="652"/>
      <c r="AV39" s="652"/>
      <c r="AW39" s="652"/>
      <c r="AX39" s="652"/>
      <c r="AY39" s="652">
        <v>7</v>
      </c>
      <c r="AZ39" s="652"/>
      <c r="BA39" s="652"/>
      <c r="BB39" s="652"/>
      <c r="BC39" s="652"/>
      <c r="BD39" s="652">
        <v>260</v>
      </c>
      <c r="BE39" s="652"/>
      <c r="BF39" s="652"/>
      <c r="BG39" s="652"/>
      <c r="BH39" s="652"/>
      <c r="BI39" s="652"/>
      <c r="BJ39" s="652"/>
      <c r="BM39" s="115"/>
      <c r="BN39" s="73"/>
    </row>
    <row r="40" spans="2:66" ht="13.5" customHeight="1">
      <c r="B40" s="64"/>
      <c r="C40" s="64"/>
      <c r="D40" s="64"/>
      <c r="E40" s="68"/>
      <c r="F40" s="68"/>
      <c r="G40" s="560">
        <v>22</v>
      </c>
      <c r="H40" s="560"/>
      <c r="I40" s="560"/>
      <c r="J40" s="64"/>
      <c r="K40" s="64"/>
      <c r="L40" s="64"/>
      <c r="M40" s="64"/>
      <c r="N40" s="76"/>
      <c r="O40" s="652">
        <f>AA40+AM40+AY40+O50+AA50+AM50+AY50</f>
        <v>115519</v>
      </c>
      <c r="P40" s="652"/>
      <c r="Q40" s="652"/>
      <c r="R40" s="652"/>
      <c r="S40" s="652"/>
      <c r="T40" s="652">
        <v>901926</v>
      </c>
      <c r="U40" s="652"/>
      <c r="V40" s="652"/>
      <c r="W40" s="652"/>
      <c r="X40" s="652"/>
      <c r="Y40" s="652"/>
      <c r="Z40" s="652"/>
      <c r="AA40" s="652">
        <v>1453</v>
      </c>
      <c r="AB40" s="652"/>
      <c r="AC40" s="652"/>
      <c r="AD40" s="652"/>
      <c r="AE40" s="652"/>
      <c r="AF40" s="652">
        <v>16813</v>
      </c>
      <c r="AG40" s="652"/>
      <c r="AH40" s="652"/>
      <c r="AI40" s="652"/>
      <c r="AJ40" s="652"/>
      <c r="AK40" s="652"/>
      <c r="AL40" s="652"/>
      <c r="AM40" s="652">
        <v>38</v>
      </c>
      <c r="AN40" s="652"/>
      <c r="AO40" s="652"/>
      <c r="AP40" s="652"/>
      <c r="AQ40" s="652"/>
      <c r="AR40" s="652">
        <v>294</v>
      </c>
      <c r="AS40" s="652"/>
      <c r="AT40" s="652"/>
      <c r="AU40" s="652"/>
      <c r="AV40" s="652"/>
      <c r="AW40" s="652"/>
      <c r="AX40" s="652"/>
      <c r="AY40" s="652">
        <v>4</v>
      </c>
      <c r="AZ40" s="652"/>
      <c r="BA40" s="652"/>
      <c r="BB40" s="652"/>
      <c r="BC40" s="652"/>
      <c r="BD40" s="652">
        <v>131</v>
      </c>
      <c r="BE40" s="652"/>
      <c r="BF40" s="652"/>
      <c r="BG40" s="652"/>
      <c r="BH40" s="652"/>
      <c r="BI40" s="652"/>
      <c r="BJ40" s="652"/>
      <c r="BM40" s="114"/>
    </row>
    <row r="41" spans="2:66" ht="13.5" customHeight="1">
      <c r="B41" s="64"/>
      <c r="C41" s="64"/>
      <c r="D41" s="64"/>
      <c r="E41" s="68"/>
      <c r="F41" s="68"/>
      <c r="G41" s="560">
        <v>23</v>
      </c>
      <c r="H41" s="560"/>
      <c r="I41" s="560"/>
      <c r="J41" s="64"/>
      <c r="K41" s="64"/>
      <c r="L41" s="64"/>
      <c r="M41" s="64"/>
      <c r="N41" s="76"/>
      <c r="O41" s="652">
        <f>AA41+AM41+AY41+O51+AA51+AM51+AY51</f>
        <v>118928</v>
      </c>
      <c r="P41" s="652"/>
      <c r="Q41" s="652"/>
      <c r="R41" s="652"/>
      <c r="S41" s="652"/>
      <c r="T41" s="652">
        <v>911309</v>
      </c>
      <c r="U41" s="652"/>
      <c r="V41" s="652"/>
      <c r="W41" s="652"/>
      <c r="X41" s="652"/>
      <c r="Y41" s="652"/>
      <c r="Z41" s="652"/>
      <c r="AA41" s="652">
        <v>1672</v>
      </c>
      <c r="AB41" s="652"/>
      <c r="AC41" s="652"/>
      <c r="AD41" s="652"/>
      <c r="AE41" s="652"/>
      <c r="AF41" s="652">
        <v>22969</v>
      </c>
      <c r="AG41" s="652"/>
      <c r="AH41" s="652"/>
      <c r="AI41" s="652"/>
      <c r="AJ41" s="652"/>
      <c r="AK41" s="652"/>
      <c r="AL41" s="652"/>
      <c r="AM41" s="652">
        <v>20</v>
      </c>
      <c r="AN41" s="652"/>
      <c r="AO41" s="652"/>
      <c r="AP41" s="652"/>
      <c r="AQ41" s="652"/>
      <c r="AR41" s="652">
        <v>212</v>
      </c>
      <c r="AS41" s="652"/>
      <c r="AT41" s="652"/>
      <c r="AU41" s="652"/>
      <c r="AV41" s="652"/>
      <c r="AW41" s="652"/>
      <c r="AX41" s="652"/>
      <c r="AY41" s="652">
        <v>2</v>
      </c>
      <c r="AZ41" s="652"/>
      <c r="BA41" s="652"/>
      <c r="BB41" s="652"/>
      <c r="BC41" s="652"/>
      <c r="BD41" s="652">
        <v>36</v>
      </c>
      <c r="BE41" s="652"/>
      <c r="BF41" s="652"/>
      <c r="BG41" s="652"/>
      <c r="BH41" s="652"/>
      <c r="BI41" s="652"/>
      <c r="BJ41" s="652"/>
      <c r="BM41" s="114"/>
    </row>
    <row r="42" spans="2:66" s="72" customFormat="1" ht="13.5" customHeight="1">
      <c r="B42" s="73"/>
      <c r="C42" s="73"/>
      <c r="D42" s="73"/>
      <c r="E42" s="75"/>
      <c r="F42" s="75"/>
      <c r="G42" s="582">
        <v>24</v>
      </c>
      <c r="H42" s="582"/>
      <c r="I42" s="582"/>
      <c r="J42" s="73"/>
      <c r="K42" s="73"/>
      <c r="L42" s="73"/>
      <c r="M42" s="73"/>
      <c r="N42" s="74"/>
      <c r="O42" s="653">
        <f>AA42+AM42+AY42+O52+AA52+AM52+AY52</f>
        <v>118715</v>
      </c>
      <c r="P42" s="653"/>
      <c r="Q42" s="653"/>
      <c r="R42" s="653"/>
      <c r="S42" s="653"/>
      <c r="T42" s="653">
        <f>SUM(AF42,AR42,BD42,T52,AF52,AR52,BD52)</f>
        <v>880137</v>
      </c>
      <c r="U42" s="653"/>
      <c r="V42" s="653"/>
      <c r="W42" s="653"/>
      <c r="X42" s="653"/>
      <c r="Y42" s="653"/>
      <c r="Z42" s="653"/>
      <c r="AA42" s="653">
        <v>2022</v>
      </c>
      <c r="AB42" s="653"/>
      <c r="AC42" s="653"/>
      <c r="AD42" s="653"/>
      <c r="AE42" s="653"/>
      <c r="AF42" s="653">
        <v>20909</v>
      </c>
      <c r="AG42" s="653"/>
      <c r="AH42" s="653"/>
      <c r="AI42" s="653"/>
      <c r="AJ42" s="653"/>
      <c r="AK42" s="653"/>
      <c r="AL42" s="653"/>
      <c r="AM42" s="653">
        <v>24</v>
      </c>
      <c r="AN42" s="653"/>
      <c r="AO42" s="653"/>
      <c r="AP42" s="653"/>
      <c r="AQ42" s="653"/>
      <c r="AR42" s="653">
        <v>287</v>
      </c>
      <c r="AS42" s="653"/>
      <c r="AT42" s="653"/>
      <c r="AU42" s="653"/>
      <c r="AV42" s="653"/>
      <c r="AW42" s="653"/>
      <c r="AX42" s="653"/>
      <c r="AY42" s="653">
        <v>2</v>
      </c>
      <c r="AZ42" s="653"/>
      <c r="BA42" s="653"/>
      <c r="BB42" s="653"/>
      <c r="BC42" s="653"/>
      <c r="BD42" s="653">
        <v>36</v>
      </c>
      <c r="BE42" s="653"/>
      <c r="BF42" s="653"/>
      <c r="BG42" s="653"/>
      <c r="BH42" s="653"/>
      <c r="BI42" s="653"/>
      <c r="BJ42" s="653"/>
      <c r="BM42" s="113"/>
    </row>
    <row r="43" spans="2:66" ht="13.5" customHeight="1">
      <c r="B43" s="69"/>
      <c r="C43" s="69"/>
      <c r="D43" s="69"/>
      <c r="E43" s="71"/>
      <c r="F43" s="71"/>
      <c r="G43" s="71"/>
      <c r="H43" s="71"/>
      <c r="I43" s="69"/>
      <c r="J43" s="69"/>
      <c r="K43" s="69"/>
      <c r="L43" s="69"/>
      <c r="M43" s="69"/>
      <c r="N43" s="70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</row>
    <row r="44" spans="2:66" ht="18" customHeight="1">
      <c r="B44" s="565" t="s">
        <v>1</v>
      </c>
      <c r="C44" s="561"/>
      <c r="D44" s="561"/>
      <c r="E44" s="561"/>
      <c r="F44" s="561"/>
      <c r="G44" s="561"/>
      <c r="H44" s="561"/>
      <c r="I44" s="561"/>
      <c r="J44" s="561"/>
      <c r="K44" s="561"/>
      <c r="L44" s="561"/>
      <c r="M44" s="561"/>
      <c r="N44" s="561"/>
      <c r="O44" s="561" t="s">
        <v>219</v>
      </c>
      <c r="P44" s="561"/>
      <c r="Q44" s="561"/>
      <c r="R44" s="561"/>
      <c r="S44" s="561"/>
      <c r="T44" s="561"/>
      <c r="U44" s="561"/>
      <c r="V44" s="561"/>
      <c r="W44" s="561"/>
      <c r="X44" s="561"/>
      <c r="Y44" s="561"/>
      <c r="Z44" s="561"/>
      <c r="AA44" s="561" t="s">
        <v>218</v>
      </c>
      <c r="AB44" s="561"/>
      <c r="AC44" s="561"/>
      <c r="AD44" s="561"/>
      <c r="AE44" s="561"/>
      <c r="AF44" s="561"/>
      <c r="AG44" s="561"/>
      <c r="AH44" s="561"/>
      <c r="AI44" s="561"/>
      <c r="AJ44" s="561"/>
      <c r="AK44" s="561"/>
      <c r="AL44" s="561"/>
      <c r="AM44" s="561" t="s">
        <v>217</v>
      </c>
      <c r="AN44" s="561"/>
      <c r="AO44" s="561"/>
      <c r="AP44" s="561"/>
      <c r="AQ44" s="561"/>
      <c r="AR44" s="561"/>
      <c r="AS44" s="561"/>
      <c r="AT44" s="561"/>
      <c r="AU44" s="561"/>
      <c r="AV44" s="561"/>
      <c r="AW44" s="561"/>
      <c r="AX44" s="561"/>
      <c r="AY44" s="561" t="s">
        <v>216</v>
      </c>
      <c r="AZ44" s="561"/>
      <c r="BA44" s="561"/>
      <c r="BB44" s="561"/>
      <c r="BC44" s="561"/>
      <c r="BD44" s="561"/>
      <c r="BE44" s="561"/>
      <c r="BF44" s="561"/>
      <c r="BG44" s="561"/>
      <c r="BH44" s="561"/>
      <c r="BI44" s="561"/>
      <c r="BJ44" s="579"/>
      <c r="BK44" s="64"/>
    </row>
    <row r="45" spans="2:66" ht="18" customHeight="1">
      <c r="B45" s="566"/>
      <c r="C45" s="562"/>
      <c r="D45" s="562"/>
      <c r="E45" s="562"/>
      <c r="F45" s="562"/>
      <c r="G45" s="562"/>
      <c r="H45" s="562"/>
      <c r="I45" s="562"/>
      <c r="J45" s="562"/>
      <c r="K45" s="562"/>
      <c r="L45" s="562"/>
      <c r="M45" s="562"/>
      <c r="N45" s="562"/>
      <c r="O45" s="562" t="s">
        <v>177</v>
      </c>
      <c r="P45" s="562"/>
      <c r="Q45" s="562"/>
      <c r="R45" s="562"/>
      <c r="S45" s="562"/>
      <c r="T45" s="562" t="s">
        <v>176</v>
      </c>
      <c r="U45" s="562"/>
      <c r="V45" s="562"/>
      <c r="W45" s="562"/>
      <c r="X45" s="562"/>
      <c r="Y45" s="562"/>
      <c r="Z45" s="562"/>
      <c r="AA45" s="562" t="s">
        <v>177</v>
      </c>
      <c r="AB45" s="562"/>
      <c r="AC45" s="562"/>
      <c r="AD45" s="562"/>
      <c r="AE45" s="562"/>
      <c r="AF45" s="562" t="s">
        <v>176</v>
      </c>
      <c r="AG45" s="562"/>
      <c r="AH45" s="562"/>
      <c r="AI45" s="562"/>
      <c r="AJ45" s="562"/>
      <c r="AK45" s="562"/>
      <c r="AL45" s="562"/>
      <c r="AM45" s="562" t="s">
        <v>177</v>
      </c>
      <c r="AN45" s="562"/>
      <c r="AO45" s="562"/>
      <c r="AP45" s="562"/>
      <c r="AQ45" s="562"/>
      <c r="AR45" s="562" t="s">
        <v>176</v>
      </c>
      <c r="AS45" s="562"/>
      <c r="AT45" s="562"/>
      <c r="AU45" s="562"/>
      <c r="AV45" s="562"/>
      <c r="AW45" s="562"/>
      <c r="AX45" s="562"/>
      <c r="AY45" s="562" t="s">
        <v>177</v>
      </c>
      <c r="AZ45" s="562"/>
      <c r="BA45" s="562"/>
      <c r="BB45" s="562"/>
      <c r="BC45" s="562"/>
      <c r="BD45" s="562" t="s">
        <v>176</v>
      </c>
      <c r="BE45" s="562"/>
      <c r="BF45" s="562"/>
      <c r="BG45" s="562"/>
      <c r="BH45" s="562"/>
      <c r="BI45" s="562"/>
      <c r="BJ45" s="580"/>
      <c r="BK45" s="64"/>
    </row>
    <row r="46" spans="2:66" ht="13.5" customHeight="1">
      <c r="B46" s="64"/>
      <c r="C46" s="68"/>
      <c r="D46" s="68"/>
      <c r="E46" s="68"/>
      <c r="F46" s="68"/>
      <c r="G46" s="64"/>
      <c r="H46" s="64"/>
      <c r="I46" s="64"/>
      <c r="J46" s="64"/>
      <c r="K46" s="64"/>
      <c r="L46" s="64"/>
      <c r="M46" s="64"/>
      <c r="N46" s="78"/>
      <c r="O46" s="64"/>
      <c r="P46" s="64"/>
      <c r="Q46" s="64"/>
      <c r="R46" s="64"/>
      <c r="S46" s="64"/>
      <c r="T46" s="64"/>
      <c r="X46" s="560" t="s">
        <v>157</v>
      </c>
      <c r="Y46" s="560"/>
      <c r="Z46" s="560"/>
      <c r="AJ46" s="560" t="s">
        <v>157</v>
      </c>
      <c r="AK46" s="560"/>
      <c r="AL46" s="560"/>
      <c r="AV46" s="560" t="s">
        <v>157</v>
      </c>
      <c r="AW46" s="560"/>
      <c r="AX46" s="560"/>
      <c r="AY46" s="64"/>
      <c r="AZ46" s="64"/>
      <c r="BA46" s="64"/>
      <c r="BB46" s="64"/>
      <c r="BC46" s="64"/>
      <c r="BD46" s="64"/>
      <c r="BH46" s="560" t="s">
        <v>157</v>
      </c>
      <c r="BI46" s="560"/>
      <c r="BJ46" s="560"/>
    </row>
    <row r="47" spans="2:66" ht="13.5" customHeight="1">
      <c r="B47" s="64"/>
      <c r="C47" s="68"/>
      <c r="D47" s="68"/>
      <c r="E47" s="68"/>
      <c r="F47" s="68"/>
      <c r="G47" s="64"/>
      <c r="H47" s="64"/>
      <c r="I47" s="64"/>
      <c r="J47" s="64"/>
      <c r="K47" s="64"/>
      <c r="L47" s="64"/>
      <c r="M47" s="64"/>
      <c r="N47" s="76"/>
      <c r="O47" s="64"/>
      <c r="P47" s="64"/>
      <c r="Q47" s="64"/>
      <c r="R47" s="64"/>
      <c r="S47" s="64"/>
      <c r="T47" s="64"/>
      <c r="X47" s="68"/>
      <c r="Y47" s="68"/>
      <c r="Z47" s="68"/>
      <c r="AJ47" s="68"/>
      <c r="AK47" s="68"/>
      <c r="AL47" s="68"/>
      <c r="AV47" s="68"/>
      <c r="AW47" s="68"/>
      <c r="AX47" s="68"/>
      <c r="AY47" s="64"/>
      <c r="AZ47" s="64"/>
      <c r="BA47" s="64"/>
      <c r="BB47" s="64"/>
      <c r="BC47" s="64"/>
      <c r="BD47" s="64"/>
      <c r="BH47" s="68"/>
      <c r="BI47" s="68"/>
      <c r="BJ47" s="68"/>
    </row>
    <row r="48" spans="2:66" ht="13.5" customHeight="1">
      <c r="B48" s="73"/>
      <c r="C48" s="560" t="s">
        <v>215</v>
      </c>
      <c r="D48" s="662"/>
      <c r="E48" s="662"/>
      <c r="F48" s="662"/>
      <c r="G48" s="560">
        <v>20</v>
      </c>
      <c r="H48" s="560"/>
      <c r="I48" s="560"/>
      <c r="J48" s="560" t="s">
        <v>214</v>
      </c>
      <c r="K48" s="560"/>
      <c r="L48" s="560"/>
      <c r="M48" s="560"/>
      <c r="N48" s="74"/>
      <c r="O48" s="652">
        <v>87588</v>
      </c>
      <c r="P48" s="652"/>
      <c r="Q48" s="652"/>
      <c r="R48" s="652"/>
      <c r="S48" s="652"/>
      <c r="T48" s="652">
        <v>742231</v>
      </c>
      <c r="U48" s="652"/>
      <c r="V48" s="652"/>
      <c r="W48" s="652"/>
      <c r="X48" s="652"/>
      <c r="Y48" s="652"/>
      <c r="Z48" s="652"/>
      <c r="AA48" s="652">
        <v>2232</v>
      </c>
      <c r="AB48" s="652"/>
      <c r="AC48" s="652"/>
      <c r="AD48" s="652"/>
      <c r="AE48" s="652"/>
      <c r="AF48" s="652">
        <v>48341</v>
      </c>
      <c r="AG48" s="652"/>
      <c r="AH48" s="652"/>
      <c r="AI48" s="652"/>
      <c r="AJ48" s="652"/>
      <c r="AK48" s="652"/>
      <c r="AL48" s="652"/>
      <c r="AM48" s="652">
        <v>2818</v>
      </c>
      <c r="AN48" s="652"/>
      <c r="AO48" s="652"/>
      <c r="AP48" s="652"/>
      <c r="AQ48" s="652"/>
      <c r="AR48" s="652">
        <v>24241</v>
      </c>
      <c r="AS48" s="652"/>
      <c r="AT48" s="652"/>
      <c r="AU48" s="652"/>
      <c r="AV48" s="652"/>
      <c r="AW48" s="652"/>
      <c r="AX48" s="652"/>
      <c r="AY48" s="652">
        <v>1346</v>
      </c>
      <c r="AZ48" s="652"/>
      <c r="BA48" s="652"/>
      <c r="BB48" s="652"/>
      <c r="BC48" s="652"/>
      <c r="BD48" s="652">
        <v>33853</v>
      </c>
      <c r="BE48" s="652"/>
      <c r="BF48" s="652"/>
      <c r="BG48" s="652"/>
      <c r="BH48" s="652"/>
      <c r="BI48" s="652"/>
      <c r="BJ48" s="652"/>
    </row>
    <row r="49" spans="2:62" s="72" customFormat="1" ht="13.5" customHeight="1">
      <c r="B49" s="64"/>
      <c r="C49" s="64"/>
      <c r="D49" s="64"/>
      <c r="E49" s="68"/>
      <c r="F49" s="68"/>
      <c r="G49" s="560">
        <v>21</v>
      </c>
      <c r="H49" s="560"/>
      <c r="I49" s="560"/>
      <c r="J49" s="64"/>
      <c r="K49" s="64"/>
      <c r="L49" s="64"/>
      <c r="M49" s="64"/>
      <c r="N49" s="76"/>
      <c r="O49" s="652">
        <v>107752</v>
      </c>
      <c r="P49" s="652"/>
      <c r="Q49" s="652"/>
      <c r="R49" s="652"/>
      <c r="S49" s="652"/>
      <c r="T49" s="652">
        <v>804098</v>
      </c>
      <c r="U49" s="652"/>
      <c r="V49" s="652"/>
      <c r="W49" s="652"/>
      <c r="X49" s="652"/>
      <c r="Y49" s="652"/>
      <c r="Z49" s="652"/>
      <c r="AA49" s="652">
        <v>2495</v>
      </c>
      <c r="AB49" s="652"/>
      <c r="AC49" s="652"/>
      <c r="AD49" s="652"/>
      <c r="AE49" s="652"/>
      <c r="AF49" s="652">
        <v>60223</v>
      </c>
      <c r="AG49" s="652"/>
      <c r="AH49" s="652"/>
      <c r="AI49" s="652"/>
      <c r="AJ49" s="652"/>
      <c r="AK49" s="652"/>
      <c r="AL49" s="652"/>
      <c r="AM49" s="652">
        <v>3092</v>
      </c>
      <c r="AN49" s="652"/>
      <c r="AO49" s="652"/>
      <c r="AP49" s="652"/>
      <c r="AQ49" s="652"/>
      <c r="AR49" s="652">
        <v>22973</v>
      </c>
      <c r="AS49" s="652"/>
      <c r="AT49" s="652"/>
      <c r="AU49" s="652"/>
      <c r="AV49" s="652"/>
      <c r="AW49" s="652"/>
      <c r="AX49" s="652"/>
      <c r="AY49" s="652">
        <v>1201</v>
      </c>
      <c r="AZ49" s="652"/>
      <c r="BA49" s="652"/>
      <c r="BB49" s="652"/>
      <c r="BC49" s="652"/>
      <c r="BD49" s="652">
        <v>37385</v>
      </c>
      <c r="BE49" s="652"/>
      <c r="BF49" s="652"/>
      <c r="BG49" s="652"/>
      <c r="BH49" s="652"/>
      <c r="BI49" s="652"/>
      <c r="BJ49" s="652"/>
    </row>
    <row r="50" spans="2:62" ht="13.5" customHeight="1">
      <c r="B50" s="64"/>
      <c r="C50" s="64"/>
      <c r="D50" s="64"/>
      <c r="E50" s="68"/>
      <c r="F50" s="68"/>
      <c r="G50" s="560">
        <v>22</v>
      </c>
      <c r="H50" s="560"/>
      <c r="I50" s="560"/>
      <c r="J50" s="64"/>
      <c r="K50" s="64"/>
      <c r="L50" s="64"/>
      <c r="M50" s="64"/>
      <c r="N50" s="76"/>
      <c r="O50" s="652">
        <v>106660</v>
      </c>
      <c r="P50" s="652"/>
      <c r="Q50" s="652"/>
      <c r="R50" s="652"/>
      <c r="S50" s="652"/>
      <c r="T50" s="652">
        <v>757297</v>
      </c>
      <c r="U50" s="652"/>
      <c r="V50" s="652"/>
      <c r="W50" s="652"/>
      <c r="X50" s="652"/>
      <c r="Y50" s="652"/>
      <c r="Z50" s="652"/>
      <c r="AA50" s="652">
        <v>2994</v>
      </c>
      <c r="AB50" s="652"/>
      <c r="AC50" s="652"/>
      <c r="AD50" s="652"/>
      <c r="AE50" s="652"/>
      <c r="AF50" s="652">
        <v>68190</v>
      </c>
      <c r="AG50" s="652"/>
      <c r="AH50" s="652"/>
      <c r="AI50" s="652"/>
      <c r="AJ50" s="652"/>
      <c r="AK50" s="652"/>
      <c r="AL50" s="652"/>
      <c r="AM50" s="652">
        <v>3065</v>
      </c>
      <c r="AN50" s="652"/>
      <c r="AO50" s="652"/>
      <c r="AP50" s="652"/>
      <c r="AQ50" s="652"/>
      <c r="AR50" s="652">
        <v>23191</v>
      </c>
      <c r="AS50" s="652"/>
      <c r="AT50" s="652"/>
      <c r="AU50" s="652"/>
      <c r="AV50" s="652"/>
      <c r="AW50" s="652"/>
      <c r="AX50" s="652"/>
      <c r="AY50" s="652">
        <v>1305</v>
      </c>
      <c r="AZ50" s="652"/>
      <c r="BA50" s="652"/>
      <c r="BB50" s="652"/>
      <c r="BC50" s="652"/>
      <c r="BD50" s="652">
        <v>36010</v>
      </c>
      <c r="BE50" s="652"/>
      <c r="BF50" s="652"/>
      <c r="BG50" s="652"/>
      <c r="BH50" s="652"/>
      <c r="BI50" s="652"/>
      <c r="BJ50" s="652"/>
    </row>
    <row r="51" spans="2:62" ht="13.5" customHeight="1">
      <c r="B51" s="64"/>
      <c r="C51" s="64"/>
      <c r="D51" s="64"/>
      <c r="E51" s="68"/>
      <c r="F51" s="68"/>
      <c r="G51" s="560">
        <v>23</v>
      </c>
      <c r="H51" s="560"/>
      <c r="I51" s="560"/>
      <c r="J51" s="64"/>
      <c r="K51" s="64"/>
      <c r="L51" s="64"/>
      <c r="M51" s="64"/>
      <c r="N51" s="76"/>
      <c r="O51" s="652">
        <v>109080</v>
      </c>
      <c r="P51" s="652"/>
      <c r="Q51" s="652"/>
      <c r="R51" s="652"/>
      <c r="S51" s="652"/>
      <c r="T51" s="652">
        <v>742047</v>
      </c>
      <c r="U51" s="652"/>
      <c r="V51" s="652"/>
      <c r="W51" s="652"/>
      <c r="X51" s="652"/>
      <c r="Y51" s="652"/>
      <c r="Z51" s="652"/>
      <c r="AA51" s="652">
        <v>3169</v>
      </c>
      <c r="AB51" s="652"/>
      <c r="AC51" s="652"/>
      <c r="AD51" s="652"/>
      <c r="AE51" s="652"/>
      <c r="AF51" s="652">
        <v>76836</v>
      </c>
      <c r="AG51" s="652"/>
      <c r="AH51" s="652"/>
      <c r="AI51" s="652"/>
      <c r="AJ51" s="652"/>
      <c r="AK51" s="652"/>
      <c r="AL51" s="652"/>
      <c r="AM51" s="652">
        <v>3594</v>
      </c>
      <c r="AN51" s="652"/>
      <c r="AO51" s="652"/>
      <c r="AP51" s="652"/>
      <c r="AQ51" s="652"/>
      <c r="AR51" s="652">
        <v>29145</v>
      </c>
      <c r="AS51" s="652"/>
      <c r="AT51" s="652"/>
      <c r="AU51" s="652"/>
      <c r="AV51" s="652"/>
      <c r="AW51" s="652"/>
      <c r="AX51" s="652"/>
      <c r="AY51" s="652">
        <v>1391</v>
      </c>
      <c r="AZ51" s="652"/>
      <c r="BA51" s="652"/>
      <c r="BB51" s="652"/>
      <c r="BC51" s="652"/>
      <c r="BD51" s="652">
        <v>40064</v>
      </c>
      <c r="BE51" s="652"/>
      <c r="BF51" s="652"/>
      <c r="BG51" s="652"/>
      <c r="BH51" s="652"/>
      <c r="BI51" s="652"/>
      <c r="BJ51" s="652"/>
    </row>
    <row r="52" spans="2:62" s="72" customFormat="1" ht="13.5" customHeight="1">
      <c r="B52" s="73"/>
      <c r="C52" s="73"/>
      <c r="D52" s="73"/>
      <c r="E52" s="75"/>
      <c r="F52" s="75"/>
      <c r="G52" s="582">
        <v>24</v>
      </c>
      <c r="H52" s="582"/>
      <c r="I52" s="582"/>
      <c r="J52" s="73"/>
      <c r="K52" s="73"/>
      <c r="L52" s="73"/>
      <c r="M52" s="73"/>
      <c r="N52" s="74"/>
      <c r="O52" s="653">
        <v>108144</v>
      </c>
      <c r="P52" s="653"/>
      <c r="Q52" s="653"/>
      <c r="R52" s="653"/>
      <c r="S52" s="653"/>
      <c r="T52" s="653">
        <v>705575</v>
      </c>
      <c r="U52" s="653"/>
      <c r="V52" s="653"/>
      <c r="W52" s="653"/>
      <c r="X52" s="653"/>
      <c r="Y52" s="653"/>
      <c r="Z52" s="653"/>
      <c r="AA52" s="653">
        <v>3375</v>
      </c>
      <c r="AB52" s="653"/>
      <c r="AC52" s="653"/>
      <c r="AD52" s="653"/>
      <c r="AE52" s="653"/>
      <c r="AF52" s="653">
        <v>82642</v>
      </c>
      <c r="AG52" s="653"/>
      <c r="AH52" s="653"/>
      <c r="AI52" s="653"/>
      <c r="AJ52" s="653"/>
      <c r="AK52" s="653"/>
      <c r="AL52" s="653"/>
      <c r="AM52" s="653">
        <v>3806</v>
      </c>
      <c r="AN52" s="653"/>
      <c r="AO52" s="653"/>
      <c r="AP52" s="653"/>
      <c r="AQ52" s="653"/>
      <c r="AR52" s="653">
        <v>32011</v>
      </c>
      <c r="AS52" s="653"/>
      <c r="AT52" s="653"/>
      <c r="AU52" s="653"/>
      <c r="AV52" s="653"/>
      <c r="AW52" s="653"/>
      <c r="AX52" s="653"/>
      <c r="AY52" s="653">
        <v>1342</v>
      </c>
      <c r="AZ52" s="653"/>
      <c r="BA52" s="653"/>
      <c r="BB52" s="653"/>
      <c r="BC52" s="653"/>
      <c r="BD52" s="653">
        <v>38677</v>
      </c>
      <c r="BE52" s="653"/>
      <c r="BF52" s="653"/>
      <c r="BG52" s="653"/>
      <c r="BH52" s="653"/>
      <c r="BI52" s="653"/>
      <c r="BJ52" s="653"/>
    </row>
    <row r="53" spans="2:62" ht="13.5" customHeight="1">
      <c r="B53" s="69"/>
      <c r="C53" s="69"/>
      <c r="D53" s="69"/>
      <c r="E53" s="71"/>
      <c r="F53" s="71"/>
      <c r="G53" s="71"/>
      <c r="H53" s="71"/>
      <c r="I53" s="69"/>
      <c r="J53" s="69"/>
      <c r="K53" s="69"/>
      <c r="L53" s="69"/>
      <c r="M53" s="69"/>
      <c r="N53" s="70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</row>
    <row r="54" spans="2:62" ht="13.5" customHeight="1">
      <c r="C54" s="576" t="s">
        <v>8</v>
      </c>
      <c r="D54" s="576"/>
      <c r="E54" s="66" t="s">
        <v>159</v>
      </c>
      <c r="F54" s="61" t="s">
        <v>213</v>
      </c>
      <c r="G54" s="65"/>
    </row>
    <row r="55" spans="2:62" ht="13.5" customHeight="1">
      <c r="C55" s="96"/>
      <c r="D55" s="96"/>
      <c r="E55" s="66"/>
      <c r="F55" s="61" t="s">
        <v>212</v>
      </c>
      <c r="G55" s="65"/>
    </row>
    <row r="56" spans="2:62" ht="13.5" customHeight="1">
      <c r="B56" s="577" t="s">
        <v>9</v>
      </c>
      <c r="C56" s="577"/>
      <c r="D56" s="577"/>
      <c r="E56" s="66" t="s">
        <v>159</v>
      </c>
      <c r="F56" s="61" t="s">
        <v>158</v>
      </c>
    </row>
    <row r="60" spans="2:62" ht="12" customHeight="1">
      <c r="G60" s="63"/>
      <c r="H60" s="63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</row>
    <row r="61" spans="2:62" ht="12" customHeight="1">
      <c r="G61" s="63"/>
      <c r="H61" s="63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</row>
    <row r="62" spans="2:62" ht="12" customHeight="1">
      <c r="G62" s="63"/>
      <c r="H62" s="63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</row>
    <row r="63" spans="2:62" ht="12" customHeight="1">
      <c r="G63" s="63"/>
      <c r="H63" s="63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</row>
  </sheetData>
  <mergeCells count="250">
    <mergeCell ref="AR52:AX52"/>
    <mergeCell ref="AY52:BC52"/>
    <mergeCell ref="AR50:AX50"/>
    <mergeCell ref="AY50:BC50"/>
    <mergeCell ref="BD50:BJ50"/>
    <mergeCell ref="AR51:AX51"/>
    <mergeCell ref="BD52:BJ52"/>
    <mergeCell ref="C54:D54"/>
    <mergeCell ref="B56:D56"/>
    <mergeCell ref="AY51:BC51"/>
    <mergeCell ref="BD51:BJ51"/>
    <mergeCell ref="G52:I52"/>
    <mergeCell ref="O52:S52"/>
    <mergeCell ref="T52:Z52"/>
    <mergeCell ref="AA52:AE52"/>
    <mergeCell ref="AF52:AL52"/>
    <mergeCell ref="AM52:AQ52"/>
    <mergeCell ref="G50:I50"/>
    <mergeCell ref="O50:S50"/>
    <mergeCell ref="T50:Z50"/>
    <mergeCell ref="AA50:AE50"/>
    <mergeCell ref="AF50:AL50"/>
    <mergeCell ref="AM50:AQ50"/>
    <mergeCell ref="G51:I51"/>
    <mergeCell ref="O51:S51"/>
    <mergeCell ref="T51:Z51"/>
    <mergeCell ref="AA51:AE51"/>
    <mergeCell ref="AF51:AL51"/>
    <mergeCell ref="AM51:AQ51"/>
    <mergeCell ref="G49:I49"/>
    <mergeCell ref="O49:S49"/>
    <mergeCell ref="T49:Z49"/>
    <mergeCell ref="AA49:AE49"/>
    <mergeCell ref="AF49:AL49"/>
    <mergeCell ref="AM49:AQ49"/>
    <mergeCell ref="AR49:AX49"/>
    <mergeCell ref="AY49:BC49"/>
    <mergeCell ref="BD49:BJ49"/>
    <mergeCell ref="X46:Z46"/>
    <mergeCell ref="AJ46:AL46"/>
    <mergeCell ref="AV46:AX46"/>
    <mergeCell ref="BH46:BJ46"/>
    <mergeCell ref="C48:F48"/>
    <mergeCell ref="G48:I48"/>
    <mergeCell ref="J48:M48"/>
    <mergeCell ref="O48:S48"/>
    <mergeCell ref="T48:Z48"/>
    <mergeCell ref="AA48:AE48"/>
    <mergeCell ref="AF48:AL48"/>
    <mergeCell ref="AM48:AQ48"/>
    <mergeCell ref="AR48:AX48"/>
    <mergeCell ref="AY48:BC48"/>
    <mergeCell ref="BD48:BJ48"/>
    <mergeCell ref="B44:N45"/>
    <mergeCell ref="O44:Z44"/>
    <mergeCell ref="AA44:AL44"/>
    <mergeCell ref="AM44:AX44"/>
    <mergeCell ref="AY44:BJ44"/>
    <mergeCell ref="O45:S45"/>
    <mergeCell ref="T45:Z45"/>
    <mergeCell ref="AA45:AE45"/>
    <mergeCell ref="AF45:AL45"/>
    <mergeCell ref="AM45:AQ45"/>
    <mergeCell ref="AR45:AX45"/>
    <mergeCell ref="AY45:BC45"/>
    <mergeCell ref="BD45:BJ45"/>
    <mergeCell ref="G42:I42"/>
    <mergeCell ref="O42:S42"/>
    <mergeCell ref="T42:Z42"/>
    <mergeCell ref="AA42:AE42"/>
    <mergeCell ref="AF42:AL42"/>
    <mergeCell ref="AM42:AQ42"/>
    <mergeCell ref="AR42:AX42"/>
    <mergeCell ref="AY42:BC42"/>
    <mergeCell ref="BD42:BJ42"/>
    <mergeCell ref="G41:I41"/>
    <mergeCell ref="O41:S41"/>
    <mergeCell ref="T41:Z41"/>
    <mergeCell ref="AA41:AE41"/>
    <mergeCell ref="AF41:AL41"/>
    <mergeCell ref="AM41:AQ41"/>
    <mergeCell ref="AR41:AX41"/>
    <mergeCell ref="AY41:BC41"/>
    <mergeCell ref="BD41:BJ41"/>
    <mergeCell ref="G40:I40"/>
    <mergeCell ref="O40:S40"/>
    <mergeCell ref="T40:Z40"/>
    <mergeCell ref="AA40:AE40"/>
    <mergeCell ref="AF40:AL40"/>
    <mergeCell ref="AM40:AQ40"/>
    <mergeCell ref="AR40:AX40"/>
    <mergeCell ref="AY40:BC40"/>
    <mergeCell ref="BD40:BJ40"/>
    <mergeCell ref="G39:I39"/>
    <mergeCell ref="O39:S39"/>
    <mergeCell ref="T39:Z39"/>
    <mergeCell ref="AA39:AE39"/>
    <mergeCell ref="AF39:AL39"/>
    <mergeCell ref="AM39:AQ39"/>
    <mergeCell ref="AR39:AX39"/>
    <mergeCell ref="AY39:BC39"/>
    <mergeCell ref="BD39:BJ39"/>
    <mergeCell ref="X36:Z36"/>
    <mergeCell ref="AJ36:AL36"/>
    <mergeCell ref="AV36:AX36"/>
    <mergeCell ref="BH36:BJ36"/>
    <mergeCell ref="C38:F38"/>
    <mergeCell ref="G38:I38"/>
    <mergeCell ref="J38:M38"/>
    <mergeCell ref="O38:S38"/>
    <mergeCell ref="T38:Z38"/>
    <mergeCell ref="AA38:AE38"/>
    <mergeCell ref="AF38:AL38"/>
    <mergeCell ref="AM38:AQ38"/>
    <mergeCell ref="AR38:AX38"/>
    <mergeCell ref="AY38:BC38"/>
    <mergeCell ref="BD38:BJ38"/>
    <mergeCell ref="B32:BJ32"/>
    <mergeCell ref="B34:N35"/>
    <mergeCell ref="O34:Z34"/>
    <mergeCell ref="AA34:AL34"/>
    <mergeCell ref="AM34:AX34"/>
    <mergeCell ref="AY34:BJ34"/>
    <mergeCell ref="O35:S35"/>
    <mergeCell ref="T35:Z35"/>
    <mergeCell ref="AA35:AE35"/>
    <mergeCell ref="AF35:AL35"/>
    <mergeCell ref="AM35:AQ35"/>
    <mergeCell ref="AR35:AX35"/>
    <mergeCell ref="AY35:BC35"/>
    <mergeCell ref="BD35:BJ35"/>
    <mergeCell ref="G26:I26"/>
    <mergeCell ref="O26:V26"/>
    <mergeCell ref="W26:AD26"/>
    <mergeCell ref="AE26:AL26"/>
    <mergeCell ref="AM26:AT26"/>
    <mergeCell ref="AU26:BB26"/>
    <mergeCell ref="BC26:BJ26"/>
    <mergeCell ref="C28:D28"/>
    <mergeCell ref="B29:D29"/>
    <mergeCell ref="G25:I25"/>
    <mergeCell ref="O25:V25"/>
    <mergeCell ref="W25:AD25"/>
    <mergeCell ref="AE25:AL25"/>
    <mergeCell ref="AM25:AT25"/>
    <mergeCell ref="AU25:BB25"/>
    <mergeCell ref="BC25:BJ25"/>
    <mergeCell ref="G24:I24"/>
    <mergeCell ref="O24:V24"/>
    <mergeCell ref="G23:I23"/>
    <mergeCell ref="O23:V23"/>
    <mergeCell ref="W23:AD23"/>
    <mergeCell ref="AE23:AL23"/>
    <mergeCell ref="AM23:AT23"/>
    <mergeCell ref="AU23:BB23"/>
    <mergeCell ref="BC23:BJ23"/>
    <mergeCell ref="W24:AD24"/>
    <mergeCell ref="AE24:AL24"/>
    <mergeCell ref="AM24:AT24"/>
    <mergeCell ref="AU24:BB24"/>
    <mergeCell ref="BC24:BJ24"/>
    <mergeCell ref="AB20:AD20"/>
    <mergeCell ref="AR20:AT20"/>
    <mergeCell ref="BH20:BJ20"/>
    <mergeCell ref="C22:F22"/>
    <mergeCell ref="G22:I22"/>
    <mergeCell ref="J22:M22"/>
    <mergeCell ref="O22:V22"/>
    <mergeCell ref="W22:AD22"/>
    <mergeCell ref="AE22:AL22"/>
    <mergeCell ref="BC22:BJ22"/>
    <mergeCell ref="AM22:AT22"/>
    <mergeCell ref="AU22:BB22"/>
    <mergeCell ref="B18:N19"/>
    <mergeCell ref="O18:AD18"/>
    <mergeCell ref="AE18:AT18"/>
    <mergeCell ref="AU18:BJ18"/>
    <mergeCell ref="O19:V19"/>
    <mergeCell ref="W19:AD19"/>
    <mergeCell ref="AE19:AL19"/>
    <mergeCell ref="AM19:AT19"/>
    <mergeCell ref="AU19:BB19"/>
    <mergeCell ref="BC19:BJ19"/>
    <mergeCell ref="G16:I16"/>
    <mergeCell ref="O16:T16"/>
    <mergeCell ref="U16:Z16"/>
    <mergeCell ref="AA16:AF16"/>
    <mergeCell ref="AG16:AL16"/>
    <mergeCell ref="AM16:AR16"/>
    <mergeCell ref="AS16:AX16"/>
    <mergeCell ref="AY16:BD16"/>
    <mergeCell ref="BE16:BJ16"/>
    <mergeCell ref="G15:I15"/>
    <mergeCell ref="O15:T15"/>
    <mergeCell ref="U15:Z15"/>
    <mergeCell ref="AA15:AF15"/>
    <mergeCell ref="AG15:AL15"/>
    <mergeCell ref="AM15:AR15"/>
    <mergeCell ref="AS15:AX15"/>
    <mergeCell ref="AY15:BD15"/>
    <mergeCell ref="BE15:BJ15"/>
    <mergeCell ref="G14:I14"/>
    <mergeCell ref="O14:T14"/>
    <mergeCell ref="U14:Z14"/>
    <mergeCell ref="AA14:AF14"/>
    <mergeCell ref="AG14:AL14"/>
    <mergeCell ref="AM14:AR14"/>
    <mergeCell ref="AS14:AX14"/>
    <mergeCell ref="AY14:BD14"/>
    <mergeCell ref="BE14:BJ14"/>
    <mergeCell ref="G13:I13"/>
    <mergeCell ref="O13:T13"/>
    <mergeCell ref="U13:Z13"/>
    <mergeCell ref="AA13:AF13"/>
    <mergeCell ref="AG13:AL13"/>
    <mergeCell ref="AM13:AR13"/>
    <mergeCell ref="AS13:AX13"/>
    <mergeCell ref="AY13:BD13"/>
    <mergeCell ref="BE13:BJ13"/>
    <mergeCell ref="X10:Z10"/>
    <mergeCell ref="AJ10:AL10"/>
    <mergeCell ref="AV10:AX10"/>
    <mergeCell ref="BH10:BJ10"/>
    <mergeCell ref="C12:F12"/>
    <mergeCell ref="G12:I12"/>
    <mergeCell ref="J12:M12"/>
    <mergeCell ref="O12:T12"/>
    <mergeCell ref="U12:Z12"/>
    <mergeCell ref="AA12:AF12"/>
    <mergeCell ref="AG12:AL12"/>
    <mergeCell ref="AM12:AR12"/>
    <mergeCell ref="AS12:AX12"/>
    <mergeCell ref="AY12:BD12"/>
    <mergeCell ref="BE12:BJ12"/>
    <mergeCell ref="AS1:BK2"/>
    <mergeCell ref="B5:BJ5"/>
    <mergeCell ref="O7:Z8"/>
    <mergeCell ref="AA7:BJ7"/>
    <mergeCell ref="B8:N8"/>
    <mergeCell ref="AA8:AL8"/>
    <mergeCell ref="AM8:AX8"/>
    <mergeCell ref="AY8:BJ8"/>
    <mergeCell ref="O9:T9"/>
    <mergeCell ref="U9:Z9"/>
    <mergeCell ref="AA9:AF9"/>
    <mergeCell ref="AG9:AL9"/>
    <mergeCell ref="AM9:AR9"/>
    <mergeCell ref="AS9:AX9"/>
    <mergeCell ref="AY9:BD9"/>
    <mergeCell ref="BE9:BJ9"/>
  </mergeCells>
  <phoneticPr fontId="15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K72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style="205" customWidth="1"/>
    <col min="64" max="16384" width="9" style="205"/>
  </cols>
  <sheetData>
    <row r="1" spans="1:63">
      <c r="A1" s="729">
        <f>'195'!AS1+1</f>
        <v>196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</row>
    <row r="2" spans="1:63">
      <c r="A2" s="730"/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</row>
    <row r="3" spans="1:63" s="61" customFormat="1" ht="11.1" customHeight="1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</row>
    <row r="4" spans="1:63" s="61" customFormat="1" ht="11.1" customHeight="1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</row>
    <row r="5" spans="1:63" ht="18" customHeight="1">
      <c r="B5" s="709" t="s">
        <v>397</v>
      </c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709"/>
      <c r="T5" s="709"/>
      <c r="U5" s="709"/>
      <c r="V5" s="709"/>
      <c r="W5" s="709"/>
      <c r="X5" s="709"/>
      <c r="Y5" s="709"/>
      <c r="Z5" s="709"/>
      <c r="AA5" s="709"/>
      <c r="AB5" s="709"/>
      <c r="AC5" s="709"/>
      <c r="AD5" s="709"/>
      <c r="AE5" s="709"/>
      <c r="AF5" s="709"/>
      <c r="AG5" s="709"/>
      <c r="AH5" s="709"/>
      <c r="AI5" s="709"/>
      <c r="AJ5" s="709"/>
      <c r="AK5" s="709"/>
      <c r="AL5" s="709"/>
      <c r="AM5" s="709"/>
      <c r="AN5" s="709"/>
      <c r="AO5" s="709"/>
      <c r="AP5" s="709"/>
      <c r="AQ5" s="709"/>
      <c r="AR5" s="709"/>
      <c r="AS5" s="709"/>
      <c r="AT5" s="709"/>
      <c r="AU5" s="709"/>
      <c r="AV5" s="709"/>
      <c r="AW5" s="709"/>
      <c r="AX5" s="709"/>
      <c r="AY5" s="709"/>
      <c r="AZ5" s="709"/>
      <c r="BA5" s="709"/>
      <c r="BB5" s="709"/>
      <c r="BC5" s="709"/>
      <c r="BD5" s="709"/>
      <c r="BE5" s="709"/>
      <c r="BF5" s="709"/>
      <c r="BG5" s="709"/>
      <c r="BH5" s="709"/>
      <c r="BI5" s="709"/>
      <c r="BJ5" s="709"/>
    </row>
    <row r="6" spans="1:63" ht="12.95" customHeight="1"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553" t="s">
        <v>363</v>
      </c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  <c r="AC6" s="553"/>
      <c r="AD6" s="553"/>
      <c r="AE6" s="553"/>
      <c r="AF6" s="553"/>
      <c r="AG6" s="553"/>
      <c r="AH6" s="553"/>
      <c r="AI6" s="553"/>
      <c r="AJ6" s="553"/>
      <c r="AK6" s="553"/>
      <c r="AL6" s="553"/>
      <c r="AM6" s="553"/>
      <c r="AN6" s="553"/>
      <c r="AO6" s="553"/>
      <c r="AP6" s="553"/>
      <c r="AQ6" s="553"/>
      <c r="AR6" s="553"/>
      <c r="AS6" s="553"/>
      <c r="AT6" s="553"/>
      <c r="AU6" s="553"/>
      <c r="AV6" s="553"/>
      <c r="AW6" s="129"/>
      <c r="AX6" s="129"/>
      <c r="AY6" s="129"/>
      <c r="AZ6" s="129"/>
      <c r="BA6" s="129"/>
      <c r="BB6" s="710" t="s">
        <v>17</v>
      </c>
      <c r="BC6" s="710"/>
      <c r="BD6" s="710"/>
      <c r="BE6" s="710"/>
      <c r="BF6" s="710"/>
      <c r="BG6" s="710"/>
      <c r="BH6" s="710"/>
      <c r="BI6" s="710"/>
      <c r="BJ6" s="710"/>
    </row>
    <row r="7" spans="1:63" ht="7.5" customHeight="1">
      <c r="BB7" s="711"/>
      <c r="BC7" s="711"/>
      <c r="BD7" s="711"/>
      <c r="BE7" s="711"/>
      <c r="BF7" s="711"/>
      <c r="BG7" s="711"/>
      <c r="BH7" s="711"/>
      <c r="BI7" s="711"/>
      <c r="BJ7" s="711"/>
    </row>
    <row r="8" spans="1:63" ht="15" customHeight="1">
      <c r="B8" s="673" t="s">
        <v>1</v>
      </c>
      <c r="C8" s="674"/>
      <c r="D8" s="674"/>
      <c r="E8" s="674"/>
      <c r="F8" s="674"/>
      <c r="G8" s="674"/>
      <c r="H8" s="674"/>
      <c r="I8" s="674"/>
      <c r="J8" s="674"/>
      <c r="K8" s="674"/>
      <c r="L8" s="674"/>
      <c r="M8" s="674"/>
      <c r="N8" s="674"/>
      <c r="O8" s="674" t="s">
        <v>264</v>
      </c>
      <c r="P8" s="674"/>
      <c r="Q8" s="674"/>
      <c r="R8" s="674"/>
      <c r="S8" s="674"/>
      <c r="T8" s="674"/>
      <c r="U8" s="674"/>
      <c r="V8" s="674"/>
      <c r="W8" s="674"/>
      <c r="X8" s="674"/>
      <c r="Y8" s="674" t="s">
        <v>263</v>
      </c>
      <c r="Z8" s="674"/>
      <c r="AA8" s="674"/>
      <c r="AB8" s="674"/>
      <c r="AC8" s="674"/>
      <c r="AD8" s="674"/>
      <c r="AE8" s="674"/>
      <c r="AF8" s="674"/>
      <c r="AG8" s="674"/>
      <c r="AH8" s="674"/>
      <c r="AI8" s="674"/>
      <c r="AJ8" s="674"/>
      <c r="AK8" s="674"/>
      <c r="AL8" s="674"/>
      <c r="AM8" s="674"/>
      <c r="AN8" s="674"/>
      <c r="AO8" s="674"/>
      <c r="AP8" s="674"/>
      <c r="AQ8" s="674"/>
      <c r="AR8" s="674"/>
      <c r="AS8" s="674"/>
      <c r="AT8" s="674"/>
      <c r="AU8" s="674"/>
      <c r="AV8" s="674"/>
      <c r="AW8" s="674"/>
      <c r="AX8" s="674"/>
      <c r="AY8" s="674"/>
      <c r="AZ8" s="674"/>
      <c r="BA8" s="674"/>
      <c r="BB8" s="674"/>
      <c r="BC8" s="674"/>
      <c r="BD8" s="674"/>
      <c r="BE8" s="674"/>
      <c r="BF8" s="674"/>
      <c r="BG8" s="674"/>
      <c r="BH8" s="674"/>
      <c r="BI8" s="674"/>
      <c r="BJ8" s="676"/>
    </row>
    <row r="9" spans="1:63" ht="15" customHeight="1">
      <c r="B9" s="675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677" t="s">
        <v>238</v>
      </c>
      <c r="Z9" s="677"/>
      <c r="AA9" s="677"/>
      <c r="AB9" s="677"/>
      <c r="AC9" s="677"/>
      <c r="AD9" s="677"/>
      <c r="AE9" s="677"/>
      <c r="AF9" s="677"/>
      <c r="AG9" s="677"/>
      <c r="AH9" s="677"/>
      <c r="AI9" s="427" t="s">
        <v>262</v>
      </c>
      <c r="AJ9" s="427"/>
      <c r="AK9" s="427"/>
      <c r="AL9" s="427"/>
      <c r="AM9" s="427"/>
      <c r="AN9" s="427"/>
      <c r="AO9" s="427"/>
      <c r="AP9" s="427"/>
      <c r="AQ9" s="427"/>
      <c r="AR9" s="427" t="s">
        <v>261</v>
      </c>
      <c r="AS9" s="427"/>
      <c r="AT9" s="427"/>
      <c r="AU9" s="427"/>
      <c r="AV9" s="427"/>
      <c r="AW9" s="427"/>
      <c r="AX9" s="427"/>
      <c r="AY9" s="427"/>
      <c r="AZ9" s="427"/>
      <c r="BA9" s="427" t="s">
        <v>260</v>
      </c>
      <c r="BB9" s="427"/>
      <c r="BC9" s="427"/>
      <c r="BD9" s="427"/>
      <c r="BE9" s="427"/>
      <c r="BF9" s="427"/>
      <c r="BG9" s="427"/>
      <c r="BH9" s="427"/>
      <c r="BI9" s="427"/>
      <c r="BJ9" s="428"/>
    </row>
    <row r="10" spans="1:63">
      <c r="N10" s="206"/>
      <c r="BI10" s="679" t="s">
        <v>171</v>
      </c>
      <c r="BJ10" s="679"/>
    </row>
    <row r="11" spans="1:63" ht="6" customHeight="1">
      <c r="N11" s="207"/>
    </row>
    <row r="12" spans="1:63">
      <c r="C12" s="552" t="s">
        <v>7</v>
      </c>
      <c r="D12" s="552"/>
      <c r="E12" s="552"/>
      <c r="F12" s="552"/>
      <c r="G12" s="553">
        <v>20</v>
      </c>
      <c r="H12" s="553"/>
      <c r="I12" s="553"/>
      <c r="J12" s="552" t="s">
        <v>1</v>
      </c>
      <c r="K12" s="552"/>
      <c r="L12" s="552"/>
      <c r="M12" s="552"/>
      <c r="N12" s="207"/>
      <c r="O12" s="712">
        <v>704590</v>
      </c>
      <c r="P12" s="713"/>
      <c r="Q12" s="713"/>
      <c r="R12" s="713"/>
      <c r="S12" s="713"/>
      <c r="T12" s="713"/>
      <c r="U12" s="713"/>
      <c r="V12" s="713"/>
      <c r="W12" s="713"/>
      <c r="X12" s="713"/>
      <c r="Y12" s="681">
        <v>134577</v>
      </c>
      <c r="Z12" s="682"/>
      <c r="AA12" s="682"/>
      <c r="AB12" s="682"/>
      <c r="AC12" s="682"/>
      <c r="AD12" s="682"/>
      <c r="AE12" s="682"/>
      <c r="AF12" s="682"/>
      <c r="AG12" s="682"/>
      <c r="AH12" s="682"/>
      <c r="AI12" s="681">
        <v>73107</v>
      </c>
      <c r="AJ12" s="682"/>
      <c r="AK12" s="682"/>
      <c r="AL12" s="682"/>
      <c r="AM12" s="682"/>
      <c r="AN12" s="682"/>
      <c r="AO12" s="682"/>
      <c r="AP12" s="682"/>
      <c r="AQ12" s="682"/>
      <c r="AR12" s="681">
        <v>61470</v>
      </c>
      <c r="AS12" s="698"/>
      <c r="AT12" s="698"/>
      <c r="AU12" s="698"/>
      <c r="AV12" s="698"/>
      <c r="AW12" s="698"/>
      <c r="AX12" s="698"/>
      <c r="AY12" s="698"/>
      <c r="AZ12" s="698"/>
      <c r="BA12" s="697">
        <v>19.10004399721824</v>
      </c>
      <c r="BB12" s="698"/>
      <c r="BC12" s="698"/>
      <c r="BD12" s="698"/>
      <c r="BE12" s="698"/>
      <c r="BF12" s="698"/>
      <c r="BG12" s="698"/>
      <c r="BH12" s="698"/>
      <c r="BI12" s="698"/>
      <c r="BJ12" s="698"/>
    </row>
    <row r="13" spans="1:63">
      <c r="G13" s="553">
        <v>21</v>
      </c>
      <c r="H13" s="553"/>
      <c r="I13" s="553"/>
      <c r="N13" s="207"/>
      <c r="O13" s="712">
        <v>707319</v>
      </c>
      <c r="P13" s="713"/>
      <c r="Q13" s="713"/>
      <c r="R13" s="713"/>
      <c r="S13" s="713"/>
      <c r="T13" s="713"/>
      <c r="U13" s="713"/>
      <c r="V13" s="713"/>
      <c r="W13" s="713"/>
      <c r="X13" s="713"/>
      <c r="Y13" s="681">
        <v>137093</v>
      </c>
      <c r="Z13" s="682"/>
      <c r="AA13" s="682"/>
      <c r="AB13" s="682"/>
      <c r="AC13" s="682"/>
      <c r="AD13" s="682"/>
      <c r="AE13" s="682"/>
      <c r="AF13" s="682"/>
      <c r="AG13" s="682"/>
      <c r="AH13" s="682"/>
      <c r="AI13" s="681">
        <v>72384</v>
      </c>
      <c r="AJ13" s="682"/>
      <c r="AK13" s="682"/>
      <c r="AL13" s="682"/>
      <c r="AM13" s="682"/>
      <c r="AN13" s="682"/>
      <c r="AO13" s="682"/>
      <c r="AP13" s="682"/>
      <c r="AQ13" s="682"/>
      <c r="AR13" s="681">
        <v>64709</v>
      </c>
      <c r="AS13" s="698"/>
      <c r="AT13" s="698"/>
      <c r="AU13" s="698"/>
      <c r="AV13" s="698"/>
      <c r="AW13" s="698"/>
      <c r="AX13" s="698"/>
      <c r="AY13" s="698"/>
      <c r="AZ13" s="698"/>
      <c r="BA13" s="697">
        <v>19.382060993695912</v>
      </c>
      <c r="BB13" s="698"/>
      <c r="BC13" s="698"/>
      <c r="BD13" s="698"/>
      <c r="BE13" s="698"/>
      <c r="BF13" s="698"/>
      <c r="BG13" s="698"/>
      <c r="BH13" s="698"/>
      <c r="BI13" s="698"/>
      <c r="BJ13" s="698"/>
    </row>
    <row r="14" spans="1:63">
      <c r="G14" s="553">
        <v>22</v>
      </c>
      <c r="H14" s="553"/>
      <c r="I14" s="553"/>
      <c r="N14" s="207"/>
      <c r="O14" s="712">
        <v>708488</v>
      </c>
      <c r="P14" s="713"/>
      <c r="Q14" s="713"/>
      <c r="R14" s="713"/>
      <c r="S14" s="713"/>
      <c r="T14" s="713"/>
      <c r="U14" s="713"/>
      <c r="V14" s="713"/>
      <c r="W14" s="713"/>
      <c r="X14" s="713"/>
      <c r="Y14" s="681">
        <v>137915</v>
      </c>
      <c r="Z14" s="682"/>
      <c r="AA14" s="682"/>
      <c r="AB14" s="682"/>
      <c r="AC14" s="682"/>
      <c r="AD14" s="682"/>
      <c r="AE14" s="682"/>
      <c r="AF14" s="682"/>
      <c r="AG14" s="682"/>
      <c r="AH14" s="682"/>
      <c r="AI14" s="681">
        <v>70069</v>
      </c>
      <c r="AJ14" s="682"/>
      <c r="AK14" s="682"/>
      <c r="AL14" s="682"/>
      <c r="AM14" s="682"/>
      <c r="AN14" s="682"/>
      <c r="AO14" s="682"/>
      <c r="AP14" s="682"/>
      <c r="AQ14" s="682"/>
      <c r="AR14" s="681">
        <v>67846</v>
      </c>
      <c r="AS14" s="698"/>
      <c r="AT14" s="698"/>
      <c r="AU14" s="698"/>
      <c r="AV14" s="698"/>
      <c r="AW14" s="698"/>
      <c r="AX14" s="698"/>
      <c r="AY14" s="698"/>
      <c r="AZ14" s="698"/>
      <c r="BA14" s="697">
        <v>19.466102460450987</v>
      </c>
      <c r="BB14" s="698"/>
      <c r="BC14" s="698"/>
      <c r="BD14" s="698"/>
      <c r="BE14" s="698"/>
      <c r="BF14" s="698"/>
      <c r="BG14" s="698"/>
      <c r="BH14" s="698"/>
      <c r="BI14" s="698"/>
      <c r="BJ14" s="698"/>
    </row>
    <row r="15" spans="1:63">
      <c r="G15" s="553">
        <v>23</v>
      </c>
      <c r="H15" s="553"/>
      <c r="I15" s="553"/>
      <c r="N15" s="207"/>
      <c r="O15" s="712">
        <v>708500</v>
      </c>
      <c r="P15" s="713"/>
      <c r="Q15" s="713"/>
      <c r="R15" s="713"/>
      <c r="S15" s="713"/>
      <c r="T15" s="713"/>
      <c r="U15" s="713"/>
      <c r="V15" s="713"/>
      <c r="W15" s="713"/>
      <c r="X15" s="713"/>
      <c r="Y15" s="681">
        <v>140859</v>
      </c>
      <c r="Z15" s="682"/>
      <c r="AA15" s="682"/>
      <c r="AB15" s="682"/>
      <c r="AC15" s="682"/>
      <c r="AD15" s="682"/>
      <c r="AE15" s="682"/>
      <c r="AF15" s="682"/>
      <c r="AG15" s="682"/>
      <c r="AH15" s="682"/>
      <c r="AI15" s="681">
        <v>70081</v>
      </c>
      <c r="AJ15" s="682"/>
      <c r="AK15" s="682"/>
      <c r="AL15" s="682"/>
      <c r="AM15" s="682"/>
      <c r="AN15" s="682"/>
      <c r="AO15" s="682"/>
      <c r="AP15" s="682"/>
      <c r="AQ15" s="682"/>
      <c r="AR15" s="681">
        <v>70778</v>
      </c>
      <c r="AS15" s="698"/>
      <c r="AT15" s="698"/>
      <c r="AU15" s="698"/>
      <c r="AV15" s="698"/>
      <c r="AW15" s="698"/>
      <c r="AX15" s="698"/>
      <c r="AY15" s="698"/>
      <c r="AZ15" s="698"/>
      <c r="BA15" s="697">
        <v>19.881298517995766</v>
      </c>
      <c r="BB15" s="698"/>
      <c r="BC15" s="698"/>
      <c r="BD15" s="698"/>
      <c r="BE15" s="698"/>
      <c r="BF15" s="698"/>
      <c r="BG15" s="698"/>
      <c r="BH15" s="698"/>
      <c r="BI15" s="698"/>
      <c r="BJ15" s="698"/>
    </row>
    <row r="16" spans="1:63">
      <c r="G16" s="557">
        <v>24</v>
      </c>
      <c r="H16" s="557"/>
      <c r="I16" s="557"/>
      <c r="N16" s="207"/>
      <c r="O16" s="723">
        <v>709609</v>
      </c>
      <c r="P16" s="724"/>
      <c r="Q16" s="724"/>
      <c r="R16" s="724"/>
      <c r="S16" s="724"/>
      <c r="T16" s="724"/>
      <c r="U16" s="724"/>
      <c r="V16" s="724"/>
      <c r="W16" s="724"/>
      <c r="X16" s="724"/>
      <c r="Y16" s="701">
        <f>SUM(AI16:AZ16)</f>
        <v>145923</v>
      </c>
      <c r="Z16" s="702"/>
      <c r="AA16" s="702"/>
      <c r="AB16" s="702"/>
      <c r="AC16" s="702"/>
      <c r="AD16" s="702"/>
      <c r="AE16" s="702"/>
      <c r="AF16" s="702"/>
      <c r="AG16" s="702"/>
      <c r="AH16" s="702"/>
      <c r="AI16" s="701">
        <v>72365</v>
      </c>
      <c r="AJ16" s="702"/>
      <c r="AK16" s="702"/>
      <c r="AL16" s="702"/>
      <c r="AM16" s="702"/>
      <c r="AN16" s="702"/>
      <c r="AO16" s="702"/>
      <c r="AP16" s="702"/>
      <c r="AQ16" s="702"/>
      <c r="AR16" s="701">
        <v>73558</v>
      </c>
      <c r="AS16" s="700"/>
      <c r="AT16" s="700"/>
      <c r="AU16" s="700"/>
      <c r="AV16" s="700"/>
      <c r="AW16" s="700"/>
      <c r="AX16" s="700"/>
      <c r="AY16" s="700"/>
      <c r="AZ16" s="700"/>
      <c r="BA16" s="699">
        <f>Y16/O16*100</f>
        <v>20.563859815757692</v>
      </c>
      <c r="BB16" s="700"/>
      <c r="BC16" s="700"/>
      <c r="BD16" s="700"/>
      <c r="BE16" s="700"/>
      <c r="BF16" s="700"/>
      <c r="BG16" s="700"/>
      <c r="BH16" s="700"/>
      <c r="BI16" s="700"/>
      <c r="BJ16" s="700"/>
    </row>
    <row r="17" spans="2:62" ht="12" customHeight="1"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9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</row>
    <row r="18" spans="2:62">
      <c r="C18" s="668" t="s">
        <v>8</v>
      </c>
      <c r="D18" s="668"/>
      <c r="E18" s="130" t="s">
        <v>170</v>
      </c>
      <c r="F18" s="210" t="s">
        <v>259</v>
      </c>
    </row>
    <row r="19" spans="2:62">
      <c r="B19" s="671" t="s">
        <v>9</v>
      </c>
      <c r="C19" s="671"/>
      <c r="D19" s="671"/>
      <c r="E19" s="130" t="s">
        <v>170</v>
      </c>
      <c r="F19" s="210" t="s">
        <v>233</v>
      </c>
    </row>
    <row r="21" spans="2:62" ht="12.95" customHeight="1"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553" t="s">
        <v>258</v>
      </c>
      <c r="Q21" s="553"/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553"/>
      <c r="AC21" s="553"/>
      <c r="AD21" s="553"/>
      <c r="AE21" s="553"/>
      <c r="AF21" s="553"/>
      <c r="AG21" s="553"/>
      <c r="AH21" s="553"/>
      <c r="AI21" s="553"/>
      <c r="AJ21" s="553"/>
      <c r="AK21" s="553"/>
      <c r="AL21" s="553"/>
      <c r="AM21" s="553"/>
      <c r="AN21" s="553"/>
      <c r="AO21" s="553"/>
      <c r="AP21" s="553"/>
      <c r="AQ21" s="553"/>
      <c r="AR21" s="553"/>
      <c r="AS21" s="553"/>
      <c r="AT21" s="553"/>
      <c r="AU21" s="553"/>
      <c r="AV21" s="553"/>
      <c r="AW21" s="129"/>
      <c r="AX21" s="129"/>
      <c r="AY21" s="129"/>
      <c r="AZ21" s="129"/>
      <c r="BA21" s="129"/>
      <c r="BB21" s="710" t="s">
        <v>17</v>
      </c>
      <c r="BC21" s="710"/>
      <c r="BD21" s="710"/>
      <c r="BE21" s="710"/>
      <c r="BF21" s="710"/>
      <c r="BG21" s="710"/>
      <c r="BH21" s="710"/>
      <c r="BI21" s="710"/>
      <c r="BJ21" s="710"/>
    </row>
    <row r="22" spans="2:62" ht="7.5" customHeight="1">
      <c r="BB22" s="711"/>
      <c r="BC22" s="711"/>
      <c r="BD22" s="711"/>
      <c r="BE22" s="711"/>
      <c r="BF22" s="711"/>
      <c r="BG22" s="711"/>
      <c r="BH22" s="711"/>
      <c r="BI22" s="711"/>
      <c r="BJ22" s="711"/>
    </row>
    <row r="23" spans="2:62" ht="15.95" customHeight="1">
      <c r="B23" s="211"/>
      <c r="C23" s="211"/>
      <c r="D23" s="211"/>
      <c r="E23" s="211"/>
      <c r="F23" s="626" t="s">
        <v>1</v>
      </c>
      <c r="G23" s="626"/>
      <c r="H23" s="626"/>
      <c r="I23" s="626"/>
      <c r="J23" s="626"/>
      <c r="K23" s="626"/>
      <c r="L23" s="212"/>
      <c r="M23" s="720" t="s">
        <v>360</v>
      </c>
      <c r="N23" s="721"/>
      <c r="O23" s="721"/>
      <c r="P23" s="722"/>
      <c r="Q23" s="550" t="s">
        <v>18</v>
      </c>
      <c r="R23" s="703"/>
      <c r="S23" s="703"/>
      <c r="T23" s="703"/>
      <c r="U23" s="703"/>
      <c r="V23" s="704"/>
      <c r="W23" s="731" t="s">
        <v>257</v>
      </c>
      <c r="X23" s="732"/>
      <c r="Y23" s="732"/>
      <c r="Z23" s="732"/>
      <c r="AA23" s="733"/>
      <c r="AB23" s="731" t="s">
        <v>256</v>
      </c>
      <c r="AC23" s="732"/>
      <c r="AD23" s="732"/>
      <c r="AE23" s="732"/>
      <c r="AF23" s="733"/>
      <c r="AG23" s="731" t="s">
        <v>255</v>
      </c>
      <c r="AH23" s="732"/>
      <c r="AI23" s="732"/>
      <c r="AJ23" s="732"/>
      <c r="AK23" s="732"/>
      <c r="AL23" s="732"/>
      <c r="AM23" s="732"/>
      <c r="AN23" s="732"/>
      <c r="AO23" s="732"/>
      <c r="AP23" s="733"/>
      <c r="AQ23" s="725" t="s">
        <v>253</v>
      </c>
      <c r="AR23" s="725"/>
      <c r="AS23" s="725"/>
      <c r="AT23" s="725"/>
      <c r="AU23" s="725"/>
      <c r="AV23" s="725"/>
      <c r="AW23" s="725"/>
      <c r="AX23" s="725"/>
      <c r="AY23" s="725"/>
      <c r="AZ23" s="726"/>
      <c r="BA23" s="725" t="s">
        <v>252</v>
      </c>
      <c r="BB23" s="725"/>
      <c r="BC23" s="725"/>
      <c r="BD23" s="725"/>
      <c r="BE23" s="725"/>
      <c r="BF23" s="725"/>
      <c r="BG23" s="725"/>
      <c r="BH23" s="725"/>
      <c r="BI23" s="725"/>
      <c r="BJ23" s="725"/>
    </row>
    <row r="24" spans="2:62" ht="15.95" customHeight="1">
      <c r="B24" s="213"/>
      <c r="C24" s="213"/>
      <c r="D24" s="213"/>
      <c r="E24" s="213"/>
      <c r="F24" s="629"/>
      <c r="G24" s="629"/>
      <c r="H24" s="629"/>
      <c r="I24" s="629"/>
      <c r="J24" s="629"/>
      <c r="K24" s="629"/>
      <c r="L24" s="214"/>
      <c r="M24" s="687" t="s">
        <v>382</v>
      </c>
      <c r="N24" s="688"/>
      <c r="O24" s="688"/>
      <c r="P24" s="689"/>
      <c r="Q24" s="705"/>
      <c r="R24" s="706"/>
      <c r="S24" s="706"/>
      <c r="T24" s="706"/>
      <c r="U24" s="706"/>
      <c r="V24" s="707"/>
      <c r="W24" s="734"/>
      <c r="X24" s="735"/>
      <c r="Y24" s="735"/>
      <c r="Z24" s="735"/>
      <c r="AA24" s="736"/>
      <c r="AB24" s="734"/>
      <c r="AC24" s="735"/>
      <c r="AD24" s="735"/>
      <c r="AE24" s="735"/>
      <c r="AF24" s="736"/>
      <c r="AG24" s="717"/>
      <c r="AH24" s="718"/>
      <c r="AI24" s="718"/>
      <c r="AJ24" s="718"/>
      <c r="AK24" s="718"/>
      <c r="AL24" s="718"/>
      <c r="AM24" s="718"/>
      <c r="AN24" s="718"/>
      <c r="AO24" s="718"/>
      <c r="AP24" s="719"/>
      <c r="AQ24" s="714" t="s">
        <v>254</v>
      </c>
      <c r="AR24" s="715"/>
      <c r="AS24" s="715"/>
      <c r="AT24" s="715"/>
      <c r="AU24" s="716"/>
      <c r="AV24" s="714" t="s">
        <v>253</v>
      </c>
      <c r="AW24" s="715"/>
      <c r="AX24" s="715"/>
      <c r="AY24" s="715"/>
      <c r="AZ24" s="716"/>
      <c r="BA24" s="714" t="s">
        <v>252</v>
      </c>
      <c r="BB24" s="715"/>
      <c r="BC24" s="715"/>
      <c r="BD24" s="715"/>
      <c r="BE24" s="716"/>
      <c r="BF24" s="714" t="s">
        <v>251</v>
      </c>
      <c r="BG24" s="715"/>
      <c r="BH24" s="715"/>
      <c r="BI24" s="715"/>
      <c r="BJ24" s="715"/>
    </row>
    <row r="25" spans="2:62" ht="15.95" customHeight="1">
      <c r="B25" s="215"/>
      <c r="C25" s="215"/>
      <c r="D25" s="215"/>
      <c r="E25" s="215"/>
      <c r="F25" s="632"/>
      <c r="G25" s="632"/>
      <c r="H25" s="632"/>
      <c r="I25" s="632"/>
      <c r="J25" s="632"/>
      <c r="K25" s="632"/>
      <c r="L25" s="216"/>
      <c r="M25" s="687" t="s">
        <v>361</v>
      </c>
      <c r="N25" s="688"/>
      <c r="O25" s="688"/>
      <c r="P25" s="689"/>
      <c r="Q25" s="551"/>
      <c r="R25" s="643"/>
      <c r="S25" s="643"/>
      <c r="T25" s="643"/>
      <c r="U25" s="643"/>
      <c r="V25" s="644"/>
      <c r="W25" s="717"/>
      <c r="X25" s="718"/>
      <c r="Y25" s="718"/>
      <c r="Z25" s="718"/>
      <c r="AA25" s="719"/>
      <c r="AB25" s="717"/>
      <c r="AC25" s="718"/>
      <c r="AD25" s="718"/>
      <c r="AE25" s="718"/>
      <c r="AF25" s="719"/>
      <c r="AG25" s="675" t="s">
        <v>362</v>
      </c>
      <c r="AH25" s="427"/>
      <c r="AI25" s="427"/>
      <c r="AJ25" s="427"/>
      <c r="AK25" s="427"/>
      <c r="AL25" s="427" t="s">
        <v>255</v>
      </c>
      <c r="AM25" s="427"/>
      <c r="AN25" s="427"/>
      <c r="AO25" s="427"/>
      <c r="AP25" s="427"/>
      <c r="AQ25" s="717"/>
      <c r="AR25" s="718"/>
      <c r="AS25" s="718"/>
      <c r="AT25" s="718"/>
      <c r="AU25" s="719"/>
      <c r="AV25" s="717"/>
      <c r="AW25" s="718"/>
      <c r="AX25" s="718"/>
      <c r="AY25" s="718"/>
      <c r="AZ25" s="719"/>
      <c r="BA25" s="717"/>
      <c r="BB25" s="718"/>
      <c r="BC25" s="718"/>
      <c r="BD25" s="718"/>
      <c r="BE25" s="719"/>
      <c r="BF25" s="717"/>
      <c r="BG25" s="718"/>
      <c r="BH25" s="718"/>
      <c r="BI25" s="718"/>
      <c r="BJ25" s="718"/>
    </row>
    <row r="26" spans="2:62" ht="12" customHeight="1">
      <c r="P26" s="207"/>
      <c r="Q26" s="217"/>
      <c r="R26" s="217"/>
      <c r="S26" s="217"/>
      <c r="T26" s="217"/>
      <c r="U26" s="217"/>
      <c r="V26" s="270"/>
      <c r="W26" s="217"/>
      <c r="X26" s="217"/>
      <c r="Y26" s="217"/>
      <c r="Z26" s="217"/>
      <c r="AA26" s="270"/>
      <c r="AB26" s="217"/>
      <c r="AC26" s="217"/>
      <c r="AD26" s="217"/>
      <c r="AE26" s="217"/>
      <c r="AF26" s="270"/>
      <c r="AG26" s="217"/>
      <c r="AH26" s="217"/>
      <c r="AI26" s="217"/>
      <c r="AJ26" s="217"/>
      <c r="AK26" s="217"/>
      <c r="AL26" s="217"/>
      <c r="AM26" s="217"/>
      <c r="AN26" s="217"/>
      <c r="AO26" s="217"/>
      <c r="AP26" s="270"/>
      <c r="AQ26" s="217"/>
      <c r="AR26" s="217"/>
      <c r="AS26" s="217"/>
      <c r="AT26" s="217"/>
      <c r="AU26" s="217"/>
      <c r="AV26" s="217"/>
      <c r="AW26" s="217"/>
      <c r="AX26" s="217"/>
      <c r="AY26" s="217"/>
      <c r="AZ26" s="270"/>
    </row>
    <row r="27" spans="2:62" ht="13.5" customHeight="1">
      <c r="D27" s="552" t="s">
        <v>7</v>
      </c>
      <c r="E27" s="552"/>
      <c r="F27" s="552"/>
      <c r="G27" s="552"/>
      <c r="H27" s="553">
        <v>20</v>
      </c>
      <c r="I27" s="553"/>
      <c r="J27" s="553"/>
      <c r="K27" s="552" t="s">
        <v>1</v>
      </c>
      <c r="L27" s="552"/>
      <c r="M27" s="552"/>
      <c r="N27" s="552"/>
      <c r="P27" s="207"/>
      <c r="Q27" s="666">
        <f>SUM(W27:BJ27,Q37:AU37)</f>
        <v>134577</v>
      </c>
      <c r="R27" s="666"/>
      <c r="S27" s="666"/>
      <c r="T27" s="666"/>
      <c r="U27" s="666"/>
      <c r="V27" s="708"/>
      <c r="W27" s="667">
        <v>4905</v>
      </c>
      <c r="X27" s="667"/>
      <c r="Y27" s="667"/>
      <c r="Z27" s="667"/>
      <c r="AA27" s="693"/>
      <c r="AB27" s="667">
        <v>20259</v>
      </c>
      <c r="AC27" s="667"/>
      <c r="AD27" s="667"/>
      <c r="AE27" s="667"/>
      <c r="AF27" s="693"/>
      <c r="AG27" s="202"/>
      <c r="AH27" s="202"/>
      <c r="AI27" s="667">
        <v>13938</v>
      </c>
      <c r="AJ27" s="667"/>
      <c r="AK27" s="667"/>
      <c r="AL27" s="667"/>
      <c r="AM27" s="667"/>
      <c r="AN27" s="217"/>
      <c r="AO27" s="217"/>
      <c r="AP27" s="270"/>
      <c r="AQ27" s="217"/>
      <c r="AR27" s="217"/>
      <c r="AS27" s="667">
        <v>35281</v>
      </c>
      <c r="AT27" s="667"/>
      <c r="AU27" s="667"/>
      <c r="AV27" s="667"/>
      <c r="AW27" s="667"/>
      <c r="AX27" s="203"/>
      <c r="AY27" s="203"/>
      <c r="AZ27" s="272"/>
      <c r="BC27" s="667">
        <v>27705</v>
      </c>
      <c r="BD27" s="667"/>
      <c r="BE27" s="667"/>
      <c r="BF27" s="667"/>
      <c r="BG27" s="667"/>
      <c r="BH27" s="203"/>
      <c r="BI27" s="203"/>
      <c r="BJ27" s="203"/>
    </row>
    <row r="28" spans="2:62" ht="13.5" customHeight="1">
      <c r="D28" s="552"/>
      <c r="E28" s="552"/>
      <c r="F28" s="552"/>
      <c r="G28" s="552"/>
      <c r="H28" s="553">
        <v>21</v>
      </c>
      <c r="I28" s="553"/>
      <c r="J28" s="553"/>
      <c r="K28" s="552"/>
      <c r="L28" s="552"/>
      <c r="M28" s="552"/>
      <c r="N28" s="552"/>
      <c r="P28" s="207"/>
      <c r="Q28" s="683">
        <f>SUM(W28:BJ28,Q38:AU38)</f>
        <v>137312</v>
      </c>
      <c r="R28" s="683"/>
      <c r="S28" s="683"/>
      <c r="T28" s="683"/>
      <c r="U28" s="683"/>
      <c r="V28" s="684"/>
      <c r="W28" s="683">
        <v>5396</v>
      </c>
      <c r="X28" s="683"/>
      <c r="Y28" s="683"/>
      <c r="Z28" s="683"/>
      <c r="AA28" s="684"/>
      <c r="AB28" s="683">
        <v>20806</v>
      </c>
      <c r="AC28" s="683"/>
      <c r="AD28" s="683"/>
      <c r="AE28" s="683"/>
      <c r="AF28" s="684"/>
      <c r="AG28" s="204"/>
      <c r="AH28" s="204"/>
      <c r="AI28" s="683">
        <v>14501</v>
      </c>
      <c r="AJ28" s="683"/>
      <c r="AK28" s="683"/>
      <c r="AL28" s="683"/>
      <c r="AM28" s="683"/>
      <c r="AN28" s="217"/>
      <c r="AO28" s="217"/>
      <c r="AP28" s="270"/>
      <c r="AQ28" s="683">
        <v>22090</v>
      </c>
      <c r="AR28" s="683"/>
      <c r="AS28" s="683"/>
      <c r="AT28" s="683"/>
      <c r="AU28" s="684"/>
      <c r="AV28" s="683">
        <v>13783</v>
      </c>
      <c r="AW28" s="683"/>
      <c r="AX28" s="683"/>
      <c r="AY28" s="683"/>
      <c r="AZ28" s="684"/>
      <c r="BA28" s="683">
        <v>13061</v>
      </c>
      <c r="BB28" s="683"/>
      <c r="BC28" s="683"/>
      <c r="BD28" s="683"/>
      <c r="BE28" s="684"/>
      <c r="BF28" s="683">
        <v>15435</v>
      </c>
      <c r="BG28" s="683"/>
      <c r="BH28" s="683"/>
      <c r="BI28" s="683"/>
      <c r="BJ28" s="683"/>
    </row>
    <row r="29" spans="2:62" ht="13.5" customHeight="1">
      <c r="H29" s="553">
        <v>22</v>
      </c>
      <c r="I29" s="553"/>
      <c r="J29" s="553"/>
      <c r="P29" s="207"/>
      <c r="Q29" s="683">
        <f>SUM(W29:BJ29,Q39:AU39)</f>
        <v>138101</v>
      </c>
      <c r="R29" s="683"/>
      <c r="S29" s="683"/>
      <c r="T29" s="683"/>
      <c r="U29" s="683"/>
      <c r="V29" s="684"/>
      <c r="W29" s="683">
        <v>5746</v>
      </c>
      <c r="X29" s="683"/>
      <c r="Y29" s="683"/>
      <c r="Z29" s="683"/>
      <c r="AA29" s="684"/>
      <c r="AB29" s="683">
        <v>21397</v>
      </c>
      <c r="AC29" s="683"/>
      <c r="AD29" s="683"/>
      <c r="AE29" s="683"/>
      <c r="AF29" s="684"/>
      <c r="AG29" s="204"/>
      <c r="AH29" s="204"/>
      <c r="AI29" s="683">
        <v>15523</v>
      </c>
      <c r="AJ29" s="683"/>
      <c r="AK29" s="683"/>
      <c r="AL29" s="683"/>
      <c r="AM29" s="683"/>
      <c r="AN29" s="217"/>
      <c r="AO29" s="217"/>
      <c r="AP29" s="270"/>
      <c r="AQ29" s="683">
        <v>21736</v>
      </c>
      <c r="AR29" s="683"/>
      <c r="AS29" s="683"/>
      <c r="AT29" s="683"/>
      <c r="AU29" s="684"/>
      <c r="AV29" s="683">
        <v>13627</v>
      </c>
      <c r="AW29" s="683"/>
      <c r="AX29" s="683"/>
      <c r="AY29" s="683"/>
      <c r="AZ29" s="684"/>
      <c r="BA29" s="683">
        <v>13284</v>
      </c>
      <c r="BB29" s="683"/>
      <c r="BC29" s="683"/>
      <c r="BD29" s="683"/>
      <c r="BE29" s="684"/>
      <c r="BF29" s="683">
        <v>15705</v>
      </c>
      <c r="BG29" s="683"/>
      <c r="BH29" s="683"/>
      <c r="BI29" s="683"/>
      <c r="BJ29" s="683"/>
    </row>
    <row r="30" spans="2:62" ht="13.5" customHeight="1">
      <c r="H30" s="553">
        <v>23</v>
      </c>
      <c r="I30" s="553"/>
      <c r="J30" s="553"/>
      <c r="K30" s="218"/>
      <c r="L30" s="218"/>
      <c r="M30" s="218"/>
      <c r="N30" s="218"/>
      <c r="P30" s="219"/>
      <c r="Q30" s="683">
        <f>SUM(W30:BJ30,Q40:AU40)</f>
        <v>141031</v>
      </c>
      <c r="R30" s="683"/>
      <c r="S30" s="683"/>
      <c r="T30" s="683"/>
      <c r="U30" s="683"/>
      <c r="V30" s="684"/>
      <c r="W30" s="683">
        <v>6158</v>
      </c>
      <c r="X30" s="683"/>
      <c r="Y30" s="683"/>
      <c r="Z30" s="683"/>
      <c r="AA30" s="684"/>
      <c r="AB30" s="683">
        <v>21974</v>
      </c>
      <c r="AC30" s="683"/>
      <c r="AD30" s="683"/>
      <c r="AE30" s="683"/>
      <c r="AF30" s="684"/>
      <c r="AG30" s="204"/>
      <c r="AH30" s="204"/>
      <c r="AI30" s="683">
        <v>16363</v>
      </c>
      <c r="AJ30" s="683"/>
      <c r="AK30" s="683"/>
      <c r="AL30" s="683"/>
      <c r="AM30" s="683"/>
      <c r="AN30" s="217"/>
      <c r="AO30" s="217"/>
      <c r="AP30" s="270"/>
      <c r="AQ30" s="683">
        <v>21487</v>
      </c>
      <c r="AR30" s="683"/>
      <c r="AS30" s="683"/>
      <c r="AT30" s="683"/>
      <c r="AU30" s="684"/>
      <c r="AV30" s="683">
        <v>13915</v>
      </c>
      <c r="AW30" s="683"/>
      <c r="AX30" s="683"/>
      <c r="AY30" s="683"/>
      <c r="AZ30" s="684"/>
      <c r="BA30" s="683">
        <v>13795</v>
      </c>
      <c r="BB30" s="683"/>
      <c r="BC30" s="683"/>
      <c r="BD30" s="683"/>
      <c r="BE30" s="684"/>
      <c r="BF30" s="683">
        <v>16042</v>
      </c>
      <c r="BG30" s="683"/>
      <c r="BH30" s="683"/>
      <c r="BI30" s="683"/>
      <c r="BJ30" s="683"/>
    </row>
    <row r="31" spans="2:62" ht="13.5" customHeight="1">
      <c r="H31" s="557">
        <v>24</v>
      </c>
      <c r="I31" s="557"/>
      <c r="J31" s="557"/>
      <c r="K31" s="279"/>
      <c r="L31" s="279"/>
      <c r="M31" s="279"/>
      <c r="N31" s="279"/>
      <c r="O31" s="279"/>
      <c r="P31" s="280"/>
      <c r="Q31" s="690">
        <f>SUM(W31:BJ31,Q41:AU41)</f>
        <v>146092</v>
      </c>
      <c r="R31" s="690"/>
      <c r="S31" s="690"/>
      <c r="T31" s="690"/>
      <c r="U31" s="690"/>
      <c r="V31" s="691"/>
      <c r="W31" s="692">
        <v>6628</v>
      </c>
      <c r="X31" s="690"/>
      <c r="Y31" s="690"/>
      <c r="Z31" s="690"/>
      <c r="AA31" s="691"/>
      <c r="AB31" s="692">
        <v>23015</v>
      </c>
      <c r="AC31" s="690"/>
      <c r="AD31" s="690"/>
      <c r="AE31" s="690"/>
      <c r="AF31" s="691"/>
      <c r="AG31" s="692">
        <v>7957</v>
      </c>
      <c r="AH31" s="690"/>
      <c r="AI31" s="690"/>
      <c r="AJ31" s="690"/>
      <c r="AK31" s="691"/>
      <c r="AL31" s="692">
        <v>9219</v>
      </c>
      <c r="AM31" s="690"/>
      <c r="AN31" s="690"/>
      <c r="AO31" s="690"/>
      <c r="AP31" s="691"/>
      <c r="AQ31" s="692">
        <v>21940</v>
      </c>
      <c r="AR31" s="690"/>
      <c r="AS31" s="690"/>
      <c r="AT31" s="690"/>
      <c r="AU31" s="691"/>
      <c r="AV31" s="692">
        <v>14100</v>
      </c>
      <c r="AW31" s="690"/>
      <c r="AX31" s="690"/>
      <c r="AY31" s="690"/>
      <c r="AZ31" s="691"/>
      <c r="BA31" s="692">
        <v>14746</v>
      </c>
      <c r="BB31" s="690"/>
      <c r="BC31" s="690"/>
      <c r="BD31" s="690"/>
      <c r="BE31" s="691"/>
      <c r="BF31" s="692">
        <v>16811</v>
      </c>
      <c r="BG31" s="690"/>
      <c r="BH31" s="690"/>
      <c r="BI31" s="690"/>
      <c r="BJ31" s="696"/>
    </row>
    <row r="32" spans="2:62" ht="12" customHeight="1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9"/>
      <c r="Q32" s="208"/>
      <c r="R32" s="208"/>
      <c r="S32" s="208"/>
      <c r="T32" s="208"/>
      <c r="U32" s="208"/>
      <c r="V32" s="271"/>
      <c r="W32" s="208"/>
      <c r="X32" s="208"/>
      <c r="Y32" s="208"/>
      <c r="Z32" s="208"/>
      <c r="AA32" s="271"/>
      <c r="AB32" s="208"/>
      <c r="AC32" s="208"/>
      <c r="AD32" s="208"/>
      <c r="AE32" s="208"/>
      <c r="AF32" s="271"/>
      <c r="AG32" s="208"/>
      <c r="AH32" s="208"/>
      <c r="AI32" s="208"/>
      <c r="AJ32" s="208"/>
      <c r="AK32" s="271"/>
      <c r="AL32" s="208"/>
      <c r="AM32" s="208"/>
      <c r="AN32" s="208"/>
      <c r="AO32" s="208"/>
      <c r="AP32" s="271"/>
      <c r="AQ32" s="208"/>
      <c r="AR32" s="208"/>
      <c r="AS32" s="208"/>
      <c r="AT32" s="208"/>
      <c r="AU32" s="271"/>
      <c r="AV32" s="208"/>
      <c r="AW32" s="208"/>
      <c r="AX32" s="208"/>
      <c r="AY32" s="208"/>
      <c r="AZ32" s="271"/>
      <c r="BA32" s="208"/>
      <c r="BB32" s="208"/>
      <c r="BC32" s="208"/>
      <c r="BD32" s="208"/>
      <c r="BE32" s="271"/>
      <c r="BF32" s="208"/>
      <c r="BG32" s="208"/>
      <c r="BH32" s="208"/>
      <c r="BI32" s="208"/>
      <c r="BJ32" s="208"/>
    </row>
    <row r="33" spans="2:62" ht="13.5" customHeight="1">
      <c r="B33" s="211"/>
      <c r="C33" s="211"/>
      <c r="D33" s="211"/>
      <c r="E33" s="211"/>
      <c r="F33" s="626" t="s">
        <v>1</v>
      </c>
      <c r="G33" s="626"/>
      <c r="H33" s="626"/>
      <c r="I33" s="626"/>
      <c r="J33" s="626"/>
      <c r="K33" s="626"/>
      <c r="L33" s="212"/>
      <c r="M33" s="720" t="s">
        <v>360</v>
      </c>
      <c r="N33" s="721"/>
      <c r="O33" s="721"/>
      <c r="P33" s="722"/>
      <c r="Q33" s="728" t="s">
        <v>251</v>
      </c>
      <c r="R33" s="725"/>
      <c r="S33" s="725"/>
      <c r="T33" s="725"/>
      <c r="U33" s="725"/>
      <c r="V33" s="725"/>
      <c r="W33" s="725"/>
      <c r="X33" s="725"/>
      <c r="Y33" s="725"/>
      <c r="Z33" s="725"/>
      <c r="AA33" s="725"/>
      <c r="AB33" s="725"/>
      <c r="AC33" s="725"/>
      <c r="AD33" s="725"/>
      <c r="AE33" s="725"/>
      <c r="AF33" s="725"/>
      <c r="AG33" s="725"/>
      <c r="AH33" s="725"/>
      <c r="AI33" s="725"/>
      <c r="AJ33" s="725"/>
      <c r="AK33" s="726"/>
      <c r="AL33" s="725" t="s">
        <v>250</v>
      </c>
      <c r="AM33" s="725"/>
      <c r="AN33" s="725"/>
      <c r="AO33" s="725"/>
      <c r="AP33" s="725"/>
      <c r="AQ33" s="725"/>
      <c r="AR33" s="725"/>
      <c r="AS33" s="725"/>
      <c r="AT33" s="725"/>
      <c r="AU33" s="725"/>
    </row>
    <row r="34" spans="2:62" ht="13.5" customHeight="1">
      <c r="B34" s="213"/>
      <c r="C34" s="213"/>
      <c r="D34" s="213"/>
      <c r="E34" s="213"/>
      <c r="F34" s="629"/>
      <c r="G34" s="629"/>
      <c r="H34" s="629"/>
      <c r="I34" s="629"/>
      <c r="J34" s="629"/>
      <c r="K34" s="629"/>
      <c r="L34" s="214"/>
      <c r="M34" s="687" t="s">
        <v>382</v>
      </c>
      <c r="N34" s="688"/>
      <c r="O34" s="688"/>
      <c r="P34" s="689"/>
      <c r="Q34" s="714" t="s">
        <v>250</v>
      </c>
      <c r="R34" s="715"/>
      <c r="S34" s="715"/>
      <c r="T34" s="715"/>
      <c r="U34" s="715"/>
      <c r="V34" s="716"/>
      <c r="W34" s="714" t="s">
        <v>249</v>
      </c>
      <c r="X34" s="715"/>
      <c r="Y34" s="715"/>
      <c r="Z34" s="715"/>
      <c r="AA34" s="716"/>
      <c r="AB34" s="714" t="s">
        <v>248</v>
      </c>
      <c r="AC34" s="715"/>
      <c r="AD34" s="715"/>
      <c r="AE34" s="715"/>
      <c r="AF34" s="716"/>
      <c r="AG34" s="714" t="s">
        <v>247</v>
      </c>
      <c r="AH34" s="715"/>
      <c r="AI34" s="715"/>
      <c r="AJ34" s="715"/>
      <c r="AK34" s="716"/>
      <c r="AL34" s="714" t="s">
        <v>246</v>
      </c>
      <c r="AM34" s="715"/>
      <c r="AN34" s="715"/>
      <c r="AO34" s="715"/>
      <c r="AP34" s="716"/>
      <c r="AQ34" s="714" t="s">
        <v>245</v>
      </c>
      <c r="AR34" s="715"/>
      <c r="AS34" s="715"/>
      <c r="AT34" s="715"/>
      <c r="AU34" s="715"/>
    </row>
    <row r="35" spans="2:62" ht="13.5" customHeight="1">
      <c r="B35" s="215"/>
      <c r="C35" s="215"/>
      <c r="D35" s="215"/>
      <c r="E35" s="215"/>
      <c r="F35" s="632"/>
      <c r="G35" s="632"/>
      <c r="H35" s="632"/>
      <c r="I35" s="632"/>
      <c r="J35" s="632"/>
      <c r="K35" s="632"/>
      <c r="L35" s="216"/>
      <c r="M35" s="687" t="s">
        <v>361</v>
      </c>
      <c r="N35" s="688"/>
      <c r="O35" s="688"/>
      <c r="P35" s="689"/>
      <c r="Q35" s="717"/>
      <c r="R35" s="718"/>
      <c r="S35" s="718"/>
      <c r="T35" s="718"/>
      <c r="U35" s="718"/>
      <c r="V35" s="719"/>
      <c r="W35" s="717"/>
      <c r="X35" s="718"/>
      <c r="Y35" s="718"/>
      <c r="Z35" s="718"/>
      <c r="AA35" s="719"/>
      <c r="AB35" s="717"/>
      <c r="AC35" s="718"/>
      <c r="AD35" s="718"/>
      <c r="AE35" s="718"/>
      <c r="AF35" s="719"/>
      <c r="AG35" s="717"/>
      <c r="AH35" s="718"/>
      <c r="AI35" s="718"/>
      <c r="AJ35" s="718"/>
      <c r="AK35" s="719"/>
      <c r="AL35" s="717"/>
      <c r="AM35" s="718"/>
      <c r="AN35" s="718"/>
      <c r="AO35" s="718"/>
      <c r="AP35" s="719"/>
      <c r="AQ35" s="717"/>
      <c r="AR35" s="718"/>
      <c r="AS35" s="718"/>
      <c r="AT35" s="718"/>
      <c r="AU35" s="718"/>
    </row>
    <row r="36" spans="2:62" ht="12" customHeight="1">
      <c r="P36" s="20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70"/>
    </row>
    <row r="37" spans="2:62" ht="12" customHeight="1">
      <c r="D37" s="552" t="s">
        <v>7</v>
      </c>
      <c r="E37" s="552"/>
      <c r="F37" s="552"/>
      <c r="G37" s="552"/>
      <c r="H37" s="553">
        <v>20</v>
      </c>
      <c r="I37" s="553"/>
      <c r="J37" s="553"/>
      <c r="K37" s="552" t="s">
        <v>1</v>
      </c>
      <c r="L37" s="552"/>
      <c r="M37" s="552"/>
      <c r="N37" s="552"/>
      <c r="P37" s="207"/>
      <c r="Q37" s="217"/>
      <c r="Y37" s="694">
        <v>27275</v>
      </c>
      <c r="Z37" s="694"/>
      <c r="AA37" s="694"/>
      <c r="AB37" s="694"/>
      <c r="AC37" s="694"/>
      <c r="AD37" s="217"/>
      <c r="AE37" s="217"/>
      <c r="AF37" s="217"/>
      <c r="AG37" s="217"/>
      <c r="AH37" s="217"/>
      <c r="AI37" s="217"/>
      <c r="AJ37" s="217"/>
      <c r="AK37" s="270"/>
      <c r="AL37" s="202"/>
      <c r="AM37" s="202"/>
      <c r="AN37" s="667">
        <v>5214</v>
      </c>
      <c r="AO37" s="667"/>
      <c r="AP37" s="667"/>
      <c r="AQ37" s="667"/>
      <c r="AR37" s="667"/>
    </row>
    <row r="38" spans="2:62" ht="13.5" customHeight="1">
      <c r="D38" s="552"/>
      <c r="E38" s="552"/>
      <c r="F38" s="552"/>
      <c r="G38" s="552"/>
      <c r="H38" s="553">
        <v>21</v>
      </c>
      <c r="I38" s="553"/>
      <c r="J38" s="553"/>
      <c r="K38" s="552"/>
      <c r="L38" s="552"/>
      <c r="M38" s="552"/>
      <c r="N38" s="552"/>
      <c r="P38" s="207"/>
      <c r="Q38" s="694">
        <v>14003</v>
      </c>
      <c r="R38" s="694"/>
      <c r="S38" s="694"/>
      <c r="T38" s="694"/>
      <c r="U38" s="694"/>
      <c r="V38" s="695"/>
      <c r="W38" s="694">
        <v>6016</v>
      </c>
      <c r="X38" s="694"/>
      <c r="Y38" s="694"/>
      <c r="Z38" s="694"/>
      <c r="AA38" s="695"/>
      <c r="AB38" s="694">
        <v>5130</v>
      </c>
      <c r="AC38" s="694"/>
      <c r="AD38" s="694"/>
      <c r="AE38" s="694"/>
      <c r="AF38" s="695"/>
      <c r="AG38" s="694">
        <v>2132</v>
      </c>
      <c r="AH38" s="694"/>
      <c r="AI38" s="694"/>
      <c r="AJ38" s="694"/>
      <c r="AK38" s="695"/>
      <c r="AL38" s="694">
        <v>1172</v>
      </c>
      <c r="AM38" s="694"/>
      <c r="AN38" s="694"/>
      <c r="AO38" s="694"/>
      <c r="AP38" s="695"/>
      <c r="AQ38" s="694">
        <v>3787</v>
      </c>
      <c r="AR38" s="694"/>
      <c r="AS38" s="694"/>
      <c r="AT38" s="694"/>
      <c r="AU38" s="694"/>
    </row>
    <row r="39" spans="2:62" ht="13.5" customHeight="1">
      <c r="H39" s="553">
        <v>22</v>
      </c>
      <c r="I39" s="553"/>
      <c r="J39" s="553"/>
      <c r="P39" s="207"/>
      <c r="Q39" s="694">
        <v>13728</v>
      </c>
      <c r="R39" s="694"/>
      <c r="S39" s="694"/>
      <c r="T39" s="694"/>
      <c r="U39" s="694"/>
      <c r="V39" s="695"/>
      <c r="W39" s="694">
        <v>5826</v>
      </c>
      <c r="X39" s="694"/>
      <c r="Y39" s="694"/>
      <c r="Z39" s="694"/>
      <c r="AA39" s="695"/>
      <c r="AB39" s="694">
        <v>5004</v>
      </c>
      <c r="AC39" s="694"/>
      <c r="AD39" s="694"/>
      <c r="AE39" s="694"/>
      <c r="AF39" s="695"/>
      <c r="AG39" s="694">
        <v>1945</v>
      </c>
      <c r="AH39" s="694"/>
      <c r="AI39" s="694"/>
      <c r="AJ39" s="694"/>
      <c r="AK39" s="695"/>
      <c r="AL39" s="694">
        <v>1114</v>
      </c>
      <c r="AM39" s="694"/>
      <c r="AN39" s="694"/>
      <c r="AO39" s="694"/>
      <c r="AP39" s="695"/>
      <c r="AQ39" s="694">
        <v>3466</v>
      </c>
      <c r="AR39" s="694"/>
      <c r="AS39" s="694"/>
      <c r="AT39" s="694"/>
      <c r="AU39" s="694"/>
    </row>
    <row r="40" spans="2:62" ht="13.5" customHeight="1">
      <c r="H40" s="553">
        <v>23</v>
      </c>
      <c r="I40" s="553"/>
      <c r="J40" s="553"/>
      <c r="K40" s="218"/>
      <c r="L40" s="218"/>
      <c r="M40" s="218"/>
      <c r="N40" s="218"/>
      <c r="P40" s="219"/>
      <c r="Q40" s="694">
        <v>13732</v>
      </c>
      <c r="R40" s="694"/>
      <c r="S40" s="694"/>
      <c r="T40" s="694"/>
      <c r="U40" s="694"/>
      <c r="V40" s="695"/>
      <c r="W40" s="694">
        <v>5883</v>
      </c>
      <c r="X40" s="694"/>
      <c r="Y40" s="694"/>
      <c r="Z40" s="694"/>
      <c r="AA40" s="695"/>
      <c r="AB40" s="694">
        <v>5036</v>
      </c>
      <c r="AC40" s="694"/>
      <c r="AD40" s="694"/>
      <c r="AE40" s="694"/>
      <c r="AF40" s="695"/>
      <c r="AG40" s="694">
        <v>2026</v>
      </c>
      <c r="AH40" s="694"/>
      <c r="AI40" s="694"/>
      <c r="AJ40" s="694"/>
      <c r="AK40" s="695"/>
      <c r="AL40" s="694">
        <v>1019</v>
      </c>
      <c r="AM40" s="694"/>
      <c r="AN40" s="694"/>
      <c r="AO40" s="694"/>
      <c r="AP40" s="695"/>
      <c r="AQ40" s="694">
        <v>3601</v>
      </c>
      <c r="AR40" s="694"/>
      <c r="AS40" s="694"/>
      <c r="AT40" s="694"/>
      <c r="AU40" s="694"/>
    </row>
    <row r="41" spans="2:62" ht="13.5" customHeight="1">
      <c r="H41" s="557">
        <v>24</v>
      </c>
      <c r="I41" s="557"/>
      <c r="J41" s="557"/>
      <c r="K41" s="279"/>
      <c r="L41" s="279"/>
      <c r="M41" s="279"/>
      <c r="N41" s="279"/>
      <c r="O41" s="279"/>
      <c r="P41" s="280"/>
      <c r="Q41" s="685">
        <v>13774</v>
      </c>
      <c r="R41" s="685"/>
      <c r="S41" s="685"/>
      <c r="T41" s="685"/>
      <c r="U41" s="685"/>
      <c r="V41" s="686"/>
      <c r="W41" s="685">
        <v>6079</v>
      </c>
      <c r="X41" s="685"/>
      <c r="Y41" s="685"/>
      <c r="Z41" s="685"/>
      <c r="AA41" s="686"/>
      <c r="AB41" s="685">
        <v>5093</v>
      </c>
      <c r="AC41" s="685"/>
      <c r="AD41" s="685"/>
      <c r="AE41" s="685"/>
      <c r="AF41" s="686"/>
      <c r="AG41" s="685">
        <v>2054</v>
      </c>
      <c r="AH41" s="685"/>
      <c r="AI41" s="685"/>
      <c r="AJ41" s="685"/>
      <c r="AK41" s="686"/>
      <c r="AL41" s="685">
        <v>1046</v>
      </c>
      <c r="AM41" s="685"/>
      <c r="AN41" s="685"/>
      <c r="AO41" s="685"/>
      <c r="AP41" s="686"/>
      <c r="AQ41" s="685">
        <v>3630</v>
      </c>
      <c r="AR41" s="685"/>
      <c r="AS41" s="685"/>
      <c r="AT41" s="685"/>
      <c r="AU41" s="685"/>
    </row>
    <row r="42" spans="2:62" ht="12" customHeight="1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9"/>
      <c r="Q42" s="208"/>
      <c r="R42" s="208"/>
      <c r="S42" s="208"/>
      <c r="T42" s="208"/>
      <c r="U42" s="208"/>
      <c r="V42" s="271"/>
      <c r="W42" s="208"/>
      <c r="X42" s="208"/>
      <c r="Y42" s="208"/>
      <c r="Z42" s="208"/>
      <c r="AA42" s="271"/>
      <c r="AB42" s="208"/>
      <c r="AC42" s="208"/>
      <c r="AD42" s="208"/>
      <c r="AE42" s="208"/>
      <c r="AF42" s="271"/>
      <c r="AG42" s="208"/>
      <c r="AH42" s="208"/>
      <c r="AI42" s="208"/>
      <c r="AJ42" s="208"/>
      <c r="AK42" s="271"/>
      <c r="AL42" s="208"/>
      <c r="AM42" s="208"/>
      <c r="AN42" s="208"/>
      <c r="AO42" s="208"/>
      <c r="AP42" s="271"/>
      <c r="AQ42" s="208"/>
      <c r="AR42" s="208"/>
      <c r="AS42" s="208"/>
      <c r="AT42" s="208"/>
      <c r="AU42" s="208"/>
    </row>
    <row r="43" spans="2:62">
      <c r="C43" s="668" t="s">
        <v>8</v>
      </c>
      <c r="D43" s="668"/>
      <c r="E43" s="130" t="s">
        <v>383</v>
      </c>
      <c r="F43" s="669">
        <v>-1</v>
      </c>
      <c r="G43" s="669"/>
      <c r="H43" s="210" t="s">
        <v>384</v>
      </c>
    </row>
    <row r="44" spans="2:62">
      <c r="C44" s="220"/>
      <c r="D44" s="220"/>
      <c r="E44" s="130"/>
      <c r="F44" s="727">
        <v>-2</v>
      </c>
      <c r="G44" s="727"/>
      <c r="H44" s="210" t="s">
        <v>385</v>
      </c>
    </row>
    <row r="45" spans="2:62">
      <c r="F45" s="727">
        <v>-3</v>
      </c>
      <c r="G45" s="727"/>
      <c r="H45" s="210" t="s">
        <v>244</v>
      </c>
    </row>
    <row r="46" spans="2:62">
      <c r="B46" s="671" t="s">
        <v>9</v>
      </c>
      <c r="C46" s="671"/>
      <c r="D46" s="671"/>
      <c r="E46" s="130" t="s">
        <v>383</v>
      </c>
      <c r="F46" s="210" t="s">
        <v>233</v>
      </c>
    </row>
    <row r="48" spans="2:62" ht="12.95" customHeight="1">
      <c r="B48" s="553" t="s">
        <v>243</v>
      </c>
      <c r="C48" s="553"/>
      <c r="D48" s="553"/>
      <c r="E48" s="553"/>
      <c r="F48" s="553"/>
      <c r="G48" s="553"/>
      <c r="H48" s="553"/>
      <c r="I48" s="553"/>
      <c r="J48" s="553"/>
      <c r="K48" s="553"/>
      <c r="L48" s="553"/>
      <c r="M48" s="553"/>
      <c r="N48" s="553"/>
      <c r="O48" s="553"/>
      <c r="P48" s="553"/>
      <c r="Q48" s="553"/>
      <c r="R48" s="553"/>
      <c r="S48" s="553"/>
      <c r="T48" s="553"/>
      <c r="U48" s="553"/>
      <c r="V48" s="553"/>
      <c r="W48" s="553"/>
      <c r="X48" s="553"/>
      <c r="Y48" s="553"/>
      <c r="Z48" s="553"/>
      <c r="AA48" s="553"/>
      <c r="AB48" s="553"/>
      <c r="AC48" s="553"/>
      <c r="AD48" s="553"/>
      <c r="AE48" s="553"/>
      <c r="AF48" s="553"/>
      <c r="AG48" s="553"/>
      <c r="AH48" s="553"/>
      <c r="AI48" s="553"/>
      <c r="AJ48" s="553"/>
      <c r="AK48" s="553"/>
      <c r="AL48" s="553"/>
      <c r="AM48" s="553"/>
      <c r="AN48" s="553"/>
      <c r="AO48" s="553"/>
      <c r="AP48" s="553"/>
      <c r="AQ48" s="553"/>
      <c r="AR48" s="553"/>
      <c r="AS48" s="553"/>
      <c r="AT48" s="553"/>
      <c r="AU48" s="553"/>
      <c r="AV48" s="553"/>
      <c r="AW48" s="553"/>
      <c r="AX48" s="553"/>
      <c r="AY48" s="553"/>
      <c r="AZ48" s="553"/>
      <c r="BA48" s="553"/>
      <c r="BB48" s="553"/>
      <c r="BC48" s="553"/>
      <c r="BD48" s="553"/>
      <c r="BE48" s="553"/>
      <c r="BF48" s="553"/>
      <c r="BG48" s="553"/>
      <c r="BH48" s="553"/>
      <c r="BI48" s="553"/>
      <c r="BJ48" s="553"/>
    </row>
    <row r="49" spans="2:62" ht="7.5" customHeight="1"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</row>
    <row r="50" spans="2:62" ht="15" customHeight="1">
      <c r="B50" s="673" t="s">
        <v>1</v>
      </c>
      <c r="C50" s="674"/>
      <c r="D50" s="674"/>
      <c r="E50" s="674"/>
      <c r="F50" s="674"/>
      <c r="G50" s="674"/>
      <c r="H50" s="674"/>
      <c r="I50" s="674"/>
      <c r="J50" s="674"/>
      <c r="K50" s="674"/>
      <c r="L50" s="674"/>
      <c r="M50" s="674"/>
      <c r="N50" s="674"/>
      <c r="O50" s="674" t="s">
        <v>242</v>
      </c>
      <c r="P50" s="674"/>
      <c r="Q50" s="674"/>
      <c r="R50" s="674"/>
      <c r="S50" s="674"/>
      <c r="T50" s="674"/>
      <c r="U50" s="674"/>
      <c r="V50" s="674"/>
      <c r="W50" s="674"/>
      <c r="X50" s="674"/>
      <c r="Y50" s="674"/>
      <c r="Z50" s="674"/>
      <c r="AA50" s="674"/>
      <c r="AB50" s="674"/>
      <c r="AC50" s="674"/>
      <c r="AD50" s="674"/>
      <c r="AE50" s="674"/>
      <c r="AF50" s="674"/>
      <c r="AG50" s="674"/>
      <c r="AH50" s="674"/>
      <c r="AI50" s="674"/>
      <c r="AJ50" s="674"/>
      <c r="AK50" s="674"/>
      <c r="AL50" s="674"/>
      <c r="AM50" s="674" t="s">
        <v>241</v>
      </c>
      <c r="AN50" s="674"/>
      <c r="AO50" s="674"/>
      <c r="AP50" s="674"/>
      <c r="AQ50" s="674"/>
      <c r="AR50" s="674"/>
      <c r="AS50" s="674"/>
      <c r="AT50" s="674"/>
      <c r="AU50" s="674"/>
      <c r="AV50" s="674"/>
      <c r="AW50" s="674"/>
      <c r="AX50" s="674"/>
      <c r="AY50" s="674"/>
      <c r="AZ50" s="674"/>
      <c r="BA50" s="674"/>
      <c r="BB50" s="674"/>
      <c r="BC50" s="674"/>
      <c r="BD50" s="674"/>
      <c r="BE50" s="674"/>
      <c r="BF50" s="674"/>
      <c r="BG50" s="674"/>
      <c r="BH50" s="674"/>
      <c r="BI50" s="674"/>
      <c r="BJ50" s="676"/>
    </row>
    <row r="51" spans="2:62" ht="15" customHeight="1">
      <c r="B51" s="675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7"/>
      <c r="O51" s="677" t="s">
        <v>238</v>
      </c>
      <c r="P51" s="677"/>
      <c r="Q51" s="677"/>
      <c r="R51" s="677"/>
      <c r="S51" s="677"/>
      <c r="T51" s="677"/>
      <c r="U51" s="677"/>
      <c r="V51" s="677"/>
      <c r="W51" s="427" t="s">
        <v>237</v>
      </c>
      <c r="X51" s="427"/>
      <c r="Y51" s="427"/>
      <c r="Z51" s="427"/>
      <c r="AA51" s="427"/>
      <c r="AB51" s="427"/>
      <c r="AC51" s="427"/>
      <c r="AD51" s="427"/>
      <c r="AE51" s="427" t="s">
        <v>236</v>
      </c>
      <c r="AF51" s="427"/>
      <c r="AG51" s="427"/>
      <c r="AH51" s="427"/>
      <c r="AI51" s="427"/>
      <c r="AJ51" s="427"/>
      <c r="AK51" s="427"/>
      <c r="AL51" s="427"/>
      <c r="AM51" s="677" t="s">
        <v>238</v>
      </c>
      <c r="AN51" s="677"/>
      <c r="AO51" s="677"/>
      <c r="AP51" s="677"/>
      <c r="AQ51" s="677"/>
      <c r="AR51" s="677"/>
      <c r="AS51" s="677"/>
      <c r="AT51" s="677"/>
      <c r="AU51" s="427" t="s">
        <v>237</v>
      </c>
      <c r="AV51" s="427"/>
      <c r="AW51" s="427"/>
      <c r="AX51" s="427"/>
      <c r="AY51" s="427"/>
      <c r="AZ51" s="427"/>
      <c r="BA51" s="427"/>
      <c r="BB51" s="427"/>
      <c r="BC51" s="427" t="s">
        <v>236</v>
      </c>
      <c r="BD51" s="427"/>
      <c r="BE51" s="427"/>
      <c r="BF51" s="427"/>
      <c r="BG51" s="427"/>
      <c r="BH51" s="427"/>
      <c r="BI51" s="427"/>
      <c r="BJ51" s="428"/>
    </row>
    <row r="52" spans="2:62">
      <c r="N52" s="206"/>
      <c r="U52" s="143"/>
      <c r="V52" s="143"/>
      <c r="AC52" s="143"/>
      <c r="AD52" s="143"/>
      <c r="AK52" s="143"/>
      <c r="AL52" s="143"/>
      <c r="AS52" s="679" t="s">
        <v>163</v>
      </c>
      <c r="AT52" s="679"/>
      <c r="BA52" s="679" t="s">
        <v>163</v>
      </c>
      <c r="BB52" s="679"/>
      <c r="BI52" s="679" t="s">
        <v>163</v>
      </c>
      <c r="BJ52" s="679"/>
    </row>
    <row r="53" spans="2:62" ht="6" customHeight="1">
      <c r="N53" s="207"/>
    </row>
    <row r="54" spans="2:62">
      <c r="C54" s="552" t="s">
        <v>7</v>
      </c>
      <c r="D54" s="552"/>
      <c r="E54" s="552"/>
      <c r="F54" s="552"/>
      <c r="G54" s="553">
        <v>20</v>
      </c>
      <c r="H54" s="553"/>
      <c r="I54" s="553"/>
      <c r="J54" s="552" t="s">
        <v>1</v>
      </c>
      <c r="K54" s="552"/>
      <c r="L54" s="552"/>
      <c r="M54" s="552"/>
      <c r="N54" s="207"/>
      <c r="O54" s="666">
        <v>139597</v>
      </c>
      <c r="P54" s="666"/>
      <c r="Q54" s="666"/>
      <c r="R54" s="666"/>
      <c r="S54" s="666"/>
      <c r="T54" s="666"/>
      <c r="U54" s="666"/>
      <c r="V54" s="666"/>
      <c r="W54" s="666">
        <v>111831</v>
      </c>
      <c r="X54" s="666"/>
      <c r="Y54" s="666"/>
      <c r="Z54" s="666"/>
      <c r="AA54" s="666"/>
      <c r="AB54" s="666"/>
      <c r="AC54" s="666"/>
      <c r="AD54" s="666"/>
      <c r="AE54" s="666">
        <v>27766</v>
      </c>
      <c r="AF54" s="666"/>
      <c r="AG54" s="666"/>
      <c r="AH54" s="666"/>
      <c r="AI54" s="666"/>
      <c r="AJ54" s="666"/>
      <c r="AK54" s="666"/>
      <c r="AL54" s="666"/>
      <c r="AM54" s="680">
        <v>6678594940</v>
      </c>
      <c r="AN54" s="680"/>
      <c r="AO54" s="680"/>
      <c r="AP54" s="680"/>
      <c r="AQ54" s="680"/>
      <c r="AR54" s="680"/>
      <c r="AS54" s="680"/>
      <c r="AT54" s="680"/>
      <c r="AU54" s="666">
        <v>5581619590</v>
      </c>
      <c r="AV54" s="666"/>
      <c r="AW54" s="666"/>
      <c r="AX54" s="666"/>
      <c r="AY54" s="666"/>
      <c r="AZ54" s="666"/>
      <c r="BA54" s="666"/>
      <c r="BB54" s="666"/>
      <c r="BC54" s="666">
        <v>1096975350</v>
      </c>
      <c r="BD54" s="666"/>
      <c r="BE54" s="666"/>
      <c r="BF54" s="666"/>
      <c r="BG54" s="666"/>
      <c r="BH54" s="666"/>
      <c r="BI54" s="666"/>
      <c r="BJ54" s="666"/>
    </row>
    <row r="55" spans="2:62">
      <c r="G55" s="553">
        <v>21</v>
      </c>
      <c r="H55" s="553"/>
      <c r="I55" s="553"/>
      <c r="N55" s="207"/>
      <c r="O55" s="666">
        <v>142185</v>
      </c>
      <c r="P55" s="666"/>
      <c r="Q55" s="666"/>
      <c r="R55" s="666"/>
      <c r="S55" s="666"/>
      <c r="T55" s="666"/>
      <c r="U55" s="666"/>
      <c r="V55" s="666"/>
      <c r="W55" s="667">
        <v>115840</v>
      </c>
      <c r="X55" s="667"/>
      <c r="Y55" s="667"/>
      <c r="Z55" s="667"/>
      <c r="AA55" s="667"/>
      <c r="AB55" s="667"/>
      <c r="AC55" s="667"/>
      <c r="AD55" s="667"/>
      <c r="AE55" s="667">
        <v>26345</v>
      </c>
      <c r="AF55" s="667"/>
      <c r="AG55" s="667"/>
      <c r="AH55" s="667"/>
      <c r="AI55" s="667"/>
      <c r="AJ55" s="667"/>
      <c r="AK55" s="667"/>
      <c r="AL55" s="667"/>
      <c r="AM55" s="680">
        <v>6282301800</v>
      </c>
      <c r="AN55" s="680"/>
      <c r="AO55" s="680"/>
      <c r="AP55" s="680"/>
      <c r="AQ55" s="680"/>
      <c r="AR55" s="680"/>
      <c r="AS55" s="680"/>
      <c r="AT55" s="680"/>
      <c r="AU55" s="667">
        <v>5292326560</v>
      </c>
      <c r="AV55" s="667"/>
      <c r="AW55" s="667"/>
      <c r="AX55" s="667"/>
      <c r="AY55" s="667"/>
      <c r="AZ55" s="667"/>
      <c r="BA55" s="667"/>
      <c r="BB55" s="667"/>
      <c r="BC55" s="667">
        <v>989975240</v>
      </c>
      <c r="BD55" s="667"/>
      <c r="BE55" s="667"/>
      <c r="BF55" s="667"/>
      <c r="BG55" s="667"/>
      <c r="BH55" s="667"/>
      <c r="BI55" s="667"/>
      <c r="BJ55" s="667"/>
    </row>
    <row r="56" spans="2:62">
      <c r="G56" s="553">
        <v>22</v>
      </c>
      <c r="H56" s="553"/>
      <c r="I56" s="553"/>
      <c r="N56" s="207"/>
      <c r="O56" s="666">
        <v>143549</v>
      </c>
      <c r="P56" s="666"/>
      <c r="Q56" s="666"/>
      <c r="R56" s="666"/>
      <c r="S56" s="666"/>
      <c r="T56" s="666"/>
      <c r="U56" s="666"/>
      <c r="V56" s="666"/>
      <c r="W56" s="667">
        <v>118970</v>
      </c>
      <c r="X56" s="667"/>
      <c r="Y56" s="667"/>
      <c r="Z56" s="667"/>
      <c r="AA56" s="667"/>
      <c r="AB56" s="667"/>
      <c r="AC56" s="667"/>
      <c r="AD56" s="667"/>
      <c r="AE56" s="667">
        <v>24579</v>
      </c>
      <c r="AF56" s="667"/>
      <c r="AG56" s="667"/>
      <c r="AH56" s="667"/>
      <c r="AI56" s="667"/>
      <c r="AJ56" s="667"/>
      <c r="AK56" s="667"/>
      <c r="AL56" s="667"/>
      <c r="AM56" s="680">
        <v>6299489140</v>
      </c>
      <c r="AN56" s="680"/>
      <c r="AO56" s="680"/>
      <c r="AP56" s="680"/>
      <c r="AQ56" s="680"/>
      <c r="AR56" s="680"/>
      <c r="AS56" s="680"/>
      <c r="AT56" s="680"/>
      <c r="AU56" s="667">
        <v>5384518850</v>
      </c>
      <c r="AV56" s="667"/>
      <c r="AW56" s="667"/>
      <c r="AX56" s="667"/>
      <c r="AY56" s="667"/>
      <c r="AZ56" s="667"/>
      <c r="BA56" s="667"/>
      <c r="BB56" s="667"/>
      <c r="BC56" s="667">
        <v>914970290</v>
      </c>
      <c r="BD56" s="667"/>
      <c r="BE56" s="667"/>
      <c r="BF56" s="667"/>
      <c r="BG56" s="667"/>
      <c r="BH56" s="667"/>
      <c r="BI56" s="667"/>
      <c r="BJ56" s="667"/>
    </row>
    <row r="57" spans="2:62">
      <c r="G57" s="553">
        <v>23</v>
      </c>
      <c r="H57" s="553"/>
      <c r="I57" s="553"/>
      <c r="N57" s="207"/>
      <c r="O57" s="667">
        <v>146494</v>
      </c>
      <c r="P57" s="667"/>
      <c r="Q57" s="667"/>
      <c r="R57" s="667"/>
      <c r="S57" s="667"/>
      <c r="T57" s="667"/>
      <c r="U57" s="667"/>
      <c r="V57" s="667"/>
      <c r="W57" s="667">
        <v>120067</v>
      </c>
      <c r="X57" s="667"/>
      <c r="Y57" s="667"/>
      <c r="Z57" s="667"/>
      <c r="AA57" s="667"/>
      <c r="AB57" s="667"/>
      <c r="AC57" s="667"/>
      <c r="AD57" s="667"/>
      <c r="AE57" s="667">
        <v>26427</v>
      </c>
      <c r="AF57" s="667"/>
      <c r="AG57" s="667"/>
      <c r="AH57" s="667"/>
      <c r="AI57" s="667"/>
      <c r="AJ57" s="667"/>
      <c r="AK57" s="667"/>
      <c r="AL57" s="667"/>
      <c r="AM57" s="667">
        <v>6342978880</v>
      </c>
      <c r="AN57" s="667"/>
      <c r="AO57" s="667"/>
      <c r="AP57" s="667"/>
      <c r="AQ57" s="667"/>
      <c r="AR57" s="667"/>
      <c r="AS57" s="667"/>
      <c r="AT57" s="667"/>
      <c r="AU57" s="667">
        <v>5438314520</v>
      </c>
      <c r="AV57" s="667"/>
      <c r="AW57" s="667"/>
      <c r="AX57" s="667"/>
      <c r="AY57" s="667"/>
      <c r="AZ57" s="667"/>
      <c r="BA57" s="667"/>
      <c r="BB57" s="667"/>
      <c r="BC57" s="667">
        <v>904664360</v>
      </c>
      <c r="BD57" s="667"/>
      <c r="BE57" s="667"/>
      <c r="BF57" s="667"/>
      <c r="BG57" s="667"/>
      <c r="BH57" s="667"/>
      <c r="BI57" s="667"/>
      <c r="BJ57" s="667"/>
    </row>
    <row r="58" spans="2:62">
      <c r="G58" s="557">
        <v>24</v>
      </c>
      <c r="H58" s="557"/>
      <c r="I58" s="557"/>
      <c r="N58" s="207"/>
      <c r="O58" s="672">
        <f>SUM(W58:AE58)</f>
        <v>151840</v>
      </c>
      <c r="P58" s="672"/>
      <c r="Q58" s="672"/>
      <c r="R58" s="672"/>
      <c r="S58" s="672"/>
      <c r="T58" s="672"/>
      <c r="U58" s="672"/>
      <c r="V58" s="672"/>
      <c r="W58" s="664">
        <v>122564</v>
      </c>
      <c r="X58" s="664"/>
      <c r="Y58" s="664"/>
      <c r="Z58" s="664"/>
      <c r="AA58" s="664"/>
      <c r="AB58" s="664"/>
      <c r="AC58" s="664"/>
      <c r="AD58" s="664"/>
      <c r="AE58" s="664">
        <v>29276</v>
      </c>
      <c r="AF58" s="664"/>
      <c r="AG58" s="664"/>
      <c r="AH58" s="664"/>
      <c r="AI58" s="664"/>
      <c r="AJ58" s="664"/>
      <c r="AK58" s="664"/>
      <c r="AL58" s="664"/>
      <c r="AM58" s="678">
        <f>SUM(AU58:BJ58)</f>
        <v>8873156720</v>
      </c>
      <c r="AN58" s="678"/>
      <c r="AO58" s="678"/>
      <c r="AP58" s="678"/>
      <c r="AQ58" s="678"/>
      <c r="AR58" s="678"/>
      <c r="AS58" s="678"/>
      <c r="AT58" s="678"/>
      <c r="AU58" s="664">
        <v>7492999540</v>
      </c>
      <c r="AV58" s="664"/>
      <c r="AW58" s="664"/>
      <c r="AX58" s="664"/>
      <c r="AY58" s="664"/>
      <c r="AZ58" s="664"/>
      <c r="BA58" s="664"/>
      <c r="BB58" s="664"/>
      <c r="BC58" s="664">
        <v>1380157180</v>
      </c>
      <c r="BD58" s="664"/>
      <c r="BE58" s="664"/>
      <c r="BF58" s="664"/>
      <c r="BG58" s="664"/>
      <c r="BH58" s="664"/>
      <c r="BI58" s="664"/>
      <c r="BJ58" s="664"/>
    </row>
    <row r="59" spans="2:62" ht="12" customHeight="1"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9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</row>
    <row r="60" spans="2:62" ht="15" customHeight="1">
      <c r="B60" s="673" t="s">
        <v>1</v>
      </c>
      <c r="C60" s="674"/>
      <c r="D60" s="674"/>
      <c r="E60" s="674"/>
      <c r="F60" s="674"/>
      <c r="G60" s="674"/>
      <c r="H60" s="674"/>
      <c r="I60" s="674"/>
      <c r="J60" s="674"/>
      <c r="K60" s="674"/>
      <c r="L60" s="674"/>
      <c r="M60" s="674"/>
      <c r="N60" s="674"/>
      <c r="O60" s="674" t="s">
        <v>240</v>
      </c>
      <c r="P60" s="674"/>
      <c r="Q60" s="674"/>
      <c r="R60" s="674"/>
      <c r="S60" s="674"/>
      <c r="T60" s="674"/>
      <c r="U60" s="674"/>
      <c r="V60" s="674"/>
      <c r="W60" s="674"/>
      <c r="X60" s="674"/>
      <c r="Y60" s="674"/>
      <c r="Z60" s="674"/>
      <c r="AA60" s="674"/>
      <c r="AB60" s="674"/>
      <c r="AC60" s="674"/>
      <c r="AD60" s="674"/>
      <c r="AE60" s="674"/>
      <c r="AF60" s="674"/>
      <c r="AG60" s="674"/>
      <c r="AH60" s="674"/>
      <c r="AI60" s="674"/>
      <c r="AJ60" s="674"/>
      <c r="AK60" s="674"/>
      <c r="AL60" s="674"/>
      <c r="AM60" s="674" t="s">
        <v>239</v>
      </c>
      <c r="AN60" s="674"/>
      <c r="AO60" s="674"/>
      <c r="AP60" s="674"/>
      <c r="AQ60" s="674"/>
      <c r="AR60" s="674"/>
      <c r="AS60" s="674"/>
      <c r="AT60" s="674"/>
      <c r="AU60" s="674"/>
      <c r="AV60" s="674"/>
      <c r="AW60" s="674"/>
      <c r="AX60" s="674"/>
      <c r="AY60" s="674"/>
      <c r="AZ60" s="674"/>
      <c r="BA60" s="674"/>
      <c r="BB60" s="674"/>
      <c r="BC60" s="674"/>
      <c r="BD60" s="674"/>
      <c r="BE60" s="674"/>
      <c r="BF60" s="674"/>
      <c r="BG60" s="674"/>
      <c r="BH60" s="674"/>
      <c r="BI60" s="674"/>
      <c r="BJ60" s="676"/>
    </row>
    <row r="61" spans="2:62" ht="15" customHeight="1">
      <c r="B61" s="675"/>
      <c r="C61" s="427"/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  <c r="O61" s="677" t="s">
        <v>238</v>
      </c>
      <c r="P61" s="677"/>
      <c r="Q61" s="677"/>
      <c r="R61" s="677"/>
      <c r="S61" s="677"/>
      <c r="T61" s="677"/>
      <c r="U61" s="677"/>
      <c r="V61" s="677"/>
      <c r="W61" s="427" t="s">
        <v>237</v>
      </c>
      <c r="X61" s="427"/>
      <c r="Y61" s="427"/>
      <c r="Z61" s="427"/>
      <c r="AA61" s="427"/>
      <c r="AB61" s="427"/>
      <c r="AC61" s="427"/>
      <c r="AD61" s="427"/>
      <c r="AE61" s="427" t="s">
        <v>236</v>
      </c>
      <c r="AF61" s="427"/>
      <c r="AG61" s="427"/>
      <c r="AH61" s="427"/>
      <c r="AI61" s="427"/>
      <c r="AJ61" s="427"/>
      <c r="AK61" s="427"/>
      <c r="AL61" s="427"/>
      <c r="AM61" s="677" t="s">
        <v>238</v>
      </c>
      <c r="AN61" s="677"/>
      <c r="AO61" s="677"/>
      <c r="AP61" s="677"/>
      <c r="AQ61" s="677"/>
      <c r="AR61" s="677"/>
      <c r="AS61" s="677"/>
      <c r="AT61" s="677"/>
      <c r="AU61" s="427" t="s">
        <v>237</v>
      </c>
      <c r="AV61" s="427"/>
      <c r="AW61" s="427"/>
      <c r="AX61" s="427"/>
      <c r="AY61" s="427"/>
      <c r="AZ61" s="427"/>
      <c r="BA61" s="427"/>
      <c r="BB61" s="427"/>
      <c r="BC61" s="427" t="s">
        <v>236</v>
      </c>
      <c r="BD61" s="427"/>
      <c r="BE61" s="427"/>
      <c r="BF61" s="427"/>
      <c r="BG61" s="427"/>
      <c r="BH61" s="427"/>
      <c r="BI61" s="427"/>
      <c r="BJ61" s="428"/>
    </row>
    <row r="62" spans="2:62">
      <c r="N62" s="206"/>
      <c r="U62" s="679" t="s">
        <v>163</v>
      </c>
      <c r="V62" s="679"/>
      <c r="AC62" s="679" t="s">
        <v>163</v>
      </c>
      <c r="AD62" s="679"/>
      <c r="AK62" s="679" t="s">
        <v>163</v>
      </c>
      <c r="AL62" s="679"/>
      <c r="AS62" s="679" t="s">
        <v>171</v>
      </c>
      <c r="AT62" s="679"/>
      <c r="BA62" s="679" t="s">
        <v>171</v>
      </c>
      <c r="BB62" s="679"/>
      <c r="BI62" s="679" t="s">
        <v>171</v>
      </c>
      <c r="BJ62" s="679"/>
    </row>
    <row r="63" spans="2:62" ht="6" customHeight="1">
      <c r="N63" s="207"/>
    </row>
    <row r="64" spans="2:62">
      <c r="C64" s="552" t="s">
        <v>7</v>
      </c>
      <c r="D64" s="552"/>
      <c r="E64" s="552"/>
      <c r="F64" s="552"/>
      <c r="G64" s="553">
        <v>20</v>
      </c>
      <c r="H64" s="553"/>
      <c r="I64" s="553"/>
      <c r="J64" s="552" t="s">
        <v>1</v>
      </c>
      <c r="K64" s="552"/>
      <c r="L64" s="552"/>
      <c r="M64" s="552"/>
      <c r="N64" s="207"/>
      <c r="O64" s="666">
        <v>6502170977</v>
      </c>
      <c r="P64" s="666"/>
      <c r="Q64" s="666"/>
      <c r="R64" s="666"/>
      <c r="S64" s="666"/>
      <c r="T64" s="666"/>
      <c r="U64" s="666"/>
      <c r="V64" s="666"/>
      <c r="W64" s="666">
        <v>5581619590</v>
      </c>
      <c r="X64" s="666"/>
      <c r="Y64" s="666"/>
      <c r="Z64" s="666"/>
      <c r="AA64" s="666"/>
      <c r="AB64" s="666"/>
      <c r="AC64" s="666"/>
      <c r="AD64" s="666"/>
      <c r="AE64" s="666">
        <v>920551387</v>
      </c>
      <c r="AF64" s="666"/>
      <c r="AG64" s="666"/>
      <c r="AH64" s="666"/>
      <c r="AI64" s="666"/>
      <c r="AJ64" s="666"/>
      <c r="AK64" s="666"/>
      <c r="AL64" s="666"/>
      <c r="AM64" s="665">
        <f>(O64/AM54)*100</f>
        <v>97.358367072940041</v>
      </c>
      <c r="AN64" s="665"/>
      <c r="AO64" s="665"/>
      <c r="AP64" s="665"/>
      <c r="AQ64" s="665"/>
      <c r="AR64" s="665"/>
      <c r="AS64" s="665"/>
      <c r="AT64" s="665"/>
      <c r="AU64" s="665">
        <f>(W64/AU54)*100</f>
        <v>100</v>
      </c>
      <c r="AV64" s="665"/>
      <c r="AW64" s="665"/>
      <c r="AX64" s="665"/>
      <c r="AY64" s="665"/>
      <c r="AZ64" s="665"/>
      <c r="BA64" s="665"/>
      <c r="BB64" s="665"/>
      <c r="BC64" s="665">
        <f>(AE64/BC54)*100</f>
        <v>83.917235423749489</v>
      </c>
      <c r="BD64" s="665"/>
      <c r="BE64" s="665"/>
      <c r="BF64" s="665"/>
      <c r="BG64" s="665"/>
      <c r="BH64" s="665"/>
      <c r="BI64" s="665"/>
      <c r="BJ64" s="665"/>
    </row>
    <row r="65" spans="2:62">
      <c r="G65" s="553">
        <v>21</v>
      </c>
      <c r="H65" s="553"/>
      <c r="I65" s="553"/>
      <c r="N65" s="207"/>
      <c r="O65" s="666">
        <v>6126077110</v>
      </c>
      <c r="P65" s="666"/>
      <c r="Q65" s="666"/>
      <c r="R65" s="666"/>
      <c r="S65" s="666"/>
      <c r="T65" s="666"/>
      <c r="U65" s="666"/>
      <c r="V65" s="666"/>
      <c r="W65" s="667">
        <v>5292326560</v>
      </c>
      <c r="X65" s="667"/>
      <c r="Y65" s="667"/>
      <c r="Z65" s="667"/>
      <c r="AA65" s="667"/>
      <c r="AB65" s="667"/>
      <c r="AC65" s="667"/>
      <c r="AD65" s="667"/>
      <c r="AE65" s="667">
        <v>833750550</v>
      </c>
      <c r="AF65" s="667"/>
      <c r="AG65" s="667"/>
      <c r="AH65" s="667"/>
      <c r="AI65" s="667"/>
      <c r="AJ65" s="667"/>
      <c r="AK65" s="667"/>
      <c r="AL65" s="667"/>
      <c r="AM65" s="665">
        <f>(O65/AM55)*100</f>
        <v>97.51325716316272</v>
      </c>
      <c r="AN65" s="665"/>
      <c r="AO65" s="665"/>
      <c r="AP65" s="665"/>
      <c r="AQ65" s="665"/>
      <c r="AR65" s="665"/>
      <c r="AS65" s="665"/>
      <c r="AT65" s="665"/>
      <c r="AU65" s="665">
        <f>(W65/AU55)*100</f>
        <v>100</v>
      </c>
      <c r="AV65" s="665"/>
      <c r="AW65" s="665"/>
      <c r="AX65" s="665"/>
      <c r="AY65" s="665"/>
      <c r="AZ65" s="665"/>
      <c r="BA65" s="665"/>
      <c r="BB65" s="665"/>
      <c r="BC65" s="665">
        <f>(AE65/BC55)*100</f>
        <v>84.219333606767776</v>
      </c>
      <c r="BD65" s="665"/>
      <c r="BE65" s="665"/>
      <c r="BF65" s="665"/>
      <c r="BG65" s="665"/>
      <c r="BH65" s="665"/>
      <c r="BI65" s="665"/>
      <c r="BJ65" s="665"/>
    </row>
    <row r="66" spans="2:62">
      <c r="G66" s="553">
        <v>22</v>
      </c>
      <c r="H66" s="553"/>
      <c r="I66" s="553"/>
      <c r="N66" s="207"/>
      <c r="O66" s="666">
        <v>6150070135</v>
      </c>
      <c r="P66" s="666"/>
      <c r="Q66" s="666"/>
      <c r="R66" s="666"/>
      <c r="S66" s="666"/>
      <c r="T66" s="666"/>
      <c r="U66" s="666"/>
      <c r="V66" s="666"/>
      <c r="W66" s="667">
        <v>5384518850</v>
      </c>
      <c r="X66" s="667"/>
      <c r="Y66" s="667"/>
      <c r="Z66" s="667"/>
      <c r="AA66" s="667"/>
      <c r="AB66" s="667"/>
      <c r="AC66" s="667"/>
      <c r="AD66" s="667"/>
      <c r="AE66" s="667">
        <v>765551285</v>
      </c>
      <c r="AF66" s="667"/>
      <c r="AG66" s="667"/>
      <c r="AH66" s="667"/>
      <c r="AI66" s="667"/>
      <c r="AJ66" s="667"/>
      <c r="AK66" s="667"/>
      <c r="AL66" s="667"/>
      <c r="AM66" s="665">
        <f>(O66/AM56)*100</f>
        <v>97.62807742533866</v>
      </c>
      <c r="AN66" s="665"/>
      <c r="AO66" s="665"/>
      <c r="AP66" s="665"/>
      <c r="AQ66" s="665"/>
      <c r="AR66" s="665"/>
      <c r="AS66" s="665"/>
      <c r="AT66" s="665"/>
      <c r="AU66" s="665">
        <f>(W66/AU56)*100</f>
        <v>100</v>
      </c>
      <c r="AV66" s="665"/>
      <c r="AW66" s="665"/>
      <c r="AX66" s="665"/>
      <c r="AY66" s="665"/>
      <c r="AZ66" s="665"/>
      <c r="BA66" s="665"/>
      <c r="BB66" s="665"/>
      <c r="BC66" s="665">
        <f>(AE66/BC56)*100</f>
        <v>83.669523848692393</v>
      </c>
      <c r="BD66" s="665"/>
      <c r="BE66" s="665"/>
      <c r="BF66" s="665"/>
      <c r="BG66" s="665"/>
      <c r="BH66" s="665"/>
      <c r="BI66" s="665"/>
      <c r="BJ66" s="665"/>
    </row>
    <row r="67" spans="2:62">
      <c r="G67" s="553">
        <v>23</v>
      </c>
      <c r="H67" s="553"/>
      <c r="I67" s="553"/>
      <c r="N67" s="207"/>
      <c r="O67" s="666">
        <v>6196623285</v>
      </c>
      <c r="P67" s="666"/>
      <c r="Q67" s="666"/>
      <c r="R67" s="666"/>
      <c r="S67" s="666"/>
      <c r="T67" s="666"/>
      <c r="U67" s="666"/>
      <c r="V67" s="666"/>
      <c r="W67" s="667">
        <v>5438314520</v>
      </c>
      <c r="X67" s="667"/>
      <c r="Y67" s="667"/>
      <c r="Z67" s="667"/>
      <c r="AA67" s="667"/>
      <c r="AB67" s="667"/>
      <c r="AC67" s="667"/>
      <c r="AD67" s="667"/>
      <c r="AE67" s="667">
        <v>758308765</v>
      </c>
      <c r="AF67" s="667"/>
      <c r="AG67" s="667"/>
      <c r="AH67" s="667"/>
      <c r="AI67" s="667"/>
      <c r="AJ67" s="667"/>
      <c r="AK67" s="667"/>
      <c r="AL67" s="667"/>
      <c r="AM67" s="665">
        <f>(O67/AM57)*100</f>
        <v>97.692636255474966</v>
      </c>
      <c r="AN67" s="665"/>
      <c r="AO67" s="665"/>
      <c r="AP67" s="665"/>
      <c r="AQ67" s="665"/>
      <c r="AR67" s="665"/>
      <c r="AS67" s="665"/>
      <c r="AT67" s="665"/>
      <c r="AU67" s="665">
        <f>(W67/AU57)*100</f>
        <v>100</v>
      </c>
      <c r="AV67" s="665"/>
      <c r="AW67" s="665"/>
      <c r="AX67" s="665"/>
      <c r="AY67" s="665"/>
      <c r="AZ67" s="665"/>
      <c r="BA67" s="665"/>
      <c r="BB67" s="665"/>
      <c r="BC67" s="665">
        <f>(AE67/BC57)*100</f>
        <v>83.82211110869892</v>
      </c>
      <c r="BD67" s="665"/>
      <c r="BE67" s="665"/>
      <c r="BF67" s="665"/>
      <c r="BG67" s="665"/>
      <c r="BH67" s="665"/>
      <c r="BI67" s="665"/>
      <c r="BJ67" s="665"/>
    </row>
    <row r="68" spans="2:62">
      <c r="G68" s="557">
        <v>24</v>
      </c>
      <c r="H68" s="557"/>
      <c r="I68" s="557"/>
      <c r="N68" s="207"/>
      <c r="O68" s="672">
        <f>SUM(W68:AL68)</f>
        <v>8657475630</v>
      </c>
      <c r="P68" s="672"/>
      <c r="Q68" s="672"/>
      <c r="R68" s="672"/>
      <c r="S68" s="672"/>
      <c r="T68" s="672"/>
      <c r="U68" s="672"/>
      <c r="V68" s="672"/>
      <c r="W68" s="664">
        <v>7492999540</v>
      </c>
      <c r="X68" s="664"/>
      <c r="Y68" s="664"/>
      <c r="Z68" s="664"/>
      <c r="AA68" s="664"/>
      <c r="AB68" s="664"/>
      <c r="AC68" s="664"/>
      <c r="AD68" s="664"/>
      <c r="AE68" s="664">
        <v>1164476090</v>
      </c>
      <c r="AF68" s="664"/>
      <c r="AG68" s="664"/>
      <c r="AH68" s="664"/>
      <c r="AI68" s="664"/>
      <c r="AJ68" s="664"/>
      <c r="AK68" s="664"/>
      <c r="AL68" s="664"/>
      <c r="AM68" s="663">
        <f>(O68/AM58)*100</f>
        <v>97.569285691597713</v>
      </c>
      <c r="AN68" s="663"/>
      <c r="AO68" s="663"/>
      <c r="AP68" s="663"/>
      <c r="AQ68" s="663"/>
      <c r="AR68" s="663"/>
      <c r="AS68" s="663"/>
      <c r="AT68" s="663"/>
      <c r="AU68" s="663">
        <f>(W68/AU58)*100</f>
        <v>100</v>
      </c>
      <c r="AV68" s="663"/>
      <c r="AW68" s="663"/>
      <c r="AX68" s="663"/>
      <c r="AY68" s="663"/>
      <c r="AZ68" s="663"/>
      <c r="BA68" s="663"/>
      <c r="BB68" s="663"/>
      <c r="BC68" s="663">
        <f>(AE68/BC58)*100</f>
        <v>84.3727154323104</v>
      </c>
      <c r="BD68" s="663"/>
      <c r="BE68" s="663"/>
      <c r="BF68" s="663"/>
      <c r="BG68" s="663"/>
      <c r="BH68" s="663"/>
      <c r="BI68" s="663"/>
      <c r="BJ68" s="663"/>
    </row>
    <row r="69" spans="2:62" ht="12" customHeight="1"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9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</row>
    <row r="70" spans="2:62">
      <c r="C70" s="668" t="s">
        <v>8</v>
      </c>
      <c r="D70" s="668"/>
      <c r="E70" s="130" t="s">
        <v>159</v>
      </c>
      <c r="F70" s="669">
        <v>-1</v>
      </c>
      <c r="G70" s="669"/>
      <c r="H70" s="210" t="s">
        <v>235</v>
      </c>
    </row>
    <row r="71" spans="2:62">
      <c r="F71" s="670">
        <v>-2</v>
      </c>
      <c r="G71" s="670"/>
      <c r="H71" s="210" t="s">
        <v>234</v>
      </c>
    </row>
    <row r="72" spans="2:62">
      <c r="B72" s="671" t="s">
        <v>9</v>
      </c>
      <c r="C72" s="671"/>
      <c r="D72" s="671"/>
      <c r="E72" s="130" t="s">
        <v>159</v>
      </c>
      <c r="F72" s="210" t="s">
        <v>233</v>
      </c>
    </row>
  </sheetData>
  <mergeCells count="270">
    <mergeCell ref="A1:S2"/>
    <mergeCell ref="B46:D46"/>
    <mergeCell ref="AB23:AF25"/>
    <mergeCell ref="AG23:AP24"/>
    <mergeCell ref="AQ24:AU25"/>
    <mergeCell ref="AB40:AF40"/>
    <mergeCell ref="AG40:AK40"/>
    <mergeCell ref="AL40:AP40"/>
    <mergeCell ref="C43:D43"/>
    <mergeCell ref="F43:G43"/>
    <mergeCell ref="F44:G44"/>
    <mergeCell ref="AQ41:AU41"/>
    <mergeCell ref="H40:J40"/>
    <mergeCell ref="Q40:V40"/>
    <mergeCell ref="W40:AA40"/>
    <mergeCell ref="AL34:AP35"/>
    <mergeCell ref="AQ34:AU35"/>
    <mergeCell ref="AQ40:AU40"/>
    <mergeCell ref="H41:J41"/>
    <mergeCell ref="Q41:V41"/>
    <mergeCell ref="W23:AA25"/>
    <mergeCell ref="W41:AA41"/>
    <mergeCell ref="AB41:AF41"/>
    <mergeCell ref="AG41:AK41"/>
    <mergeCell ref="F45:G45"/>
    <mergeCell ref="H39:J39"/>
    <mergeCell ref="Q39:V39"/>
    <mergeCell ref="W39:AA39"/>
    <mergeCell ref="AB39:AF39"/>
    <mergeCell ref="AG39:AK39"/>
    <mergeCell ref="AL39:AP39"/>
    <mergeCell ref="AQ39:AU39"/>
    <mergeCell ref="Q34:V35"/>
    <mergeCell ref="W34:AA35"/>
    <mergeCell ref="AB34:AF35"/>
    <mergeCell ref="AG34:AK35"/>
    <mergeCell ref="M35:P35"/>
    <mergeCell ref="F33:K35"/>
    <mergeCell ref="M33:P33"/>
    <mergeCell ref="Q33:AK33"/>
    <mergeCell ref="AL33:AU33"/>
    <mergeCell ref="D37:G37"/>
    <mergeCell ref="H37:J37"/>
    <mergeCell ref="K37:N37"/>
    <mergeCell ref="Y37:AC37"/>
    <mergeCell ref="AN37:AR37"/>
    <mergeCell ref="D38:G38"/>
    <mergeCell ref="H38:J38"/>
    <mergeCell ref="D28:G28"/>
    <mergeCell ref="H28:J28"/>
    <mergeCell ref="K28:N28"/>
    <mergeCell ref="Q28:V28"/>
    <mergeCell ref="W28:AA28"/>
    <mergeCell ref="AB28:AF28"/>
    <mergeCell ref="K38:N38"/>
    <mergeCell ref="Q38:V38"/>
    <mergeCell ref="W38:AA38"/>
    <mergeCell ref="AB38:AF38"/>
    <mergeCell ref="H30:J30"/>
    <mergeCell ref="Q30:V30"/>
    <mergeCell ref="W30:AA30"/>
    <mergeCell ref="AB30:AF30"/>
    <mergeCell ref="H29:J29"/>
    <mergeCell ref="Q29:V29"/>
    <mergeCell ref="W29:AA29"/>
    <mergeCell ref="AB29:AF29"/>
    <mergeCell ref="H31:J31"/>
    <mergeCell ref="M24:P24"/>
    <mergeCell ref="AS27:AW27"/>
    <mergeCell ref="BC27:BG27"/>
    <mergeCell ref="BA24:BE25"/>
    <mergeCell ref="BF24:BJ25"/>
    <mergeCell ref="AV24:AZ25"/>
    <mergeCell ref="Y15:AH15"/>
    <mergeCell ref="Y16:AH16"/>
    <mergeCell ref="F23:K25"/>
    <mergeCell ref="M23:P23"/>
    <mergeCell ref="O15:X15"/>
    <mergeCell ref="O16:X16"/>
    <mergeCell ref="AQ23:AZ23"/>
    <mergeCell ref="BA23:BJ23"/>
    <mergeCell ref="P21:AV21"/>
    <mergeCell ref="BB21:BJ22"/>
    <mergeCell ref="BI10:BJ10"/>
    <mergeCell ref="C12:F12"/>
    <mergeCell ref="J12:M12"/>
    <mergeCell ref="G12:I12"/>
    <mergeCell ref="G13:I13"/>
    <mergeCell ref="G14:I14"/>
    <mergeCell ref="Y12:AH12"/>
    <mergeCell ref="Y13:AH13"/>
    <mergeCell ref="O12:X12"/>
    <mergeCell ref="BA12:BJ12"/>
    <mergeCell ref="BA13:BJ13"/>
    <mergeCell ref="O13:X13"/>
    <mergeCell ref="O14:X14"/>
    <mergeCell ref="Y14:AH14"/>
    <mergeCell ref="BA14:BJ14"/>
    <mergeCell ref="B5:BJ5"/>
    <mergeCell ref="B8:N9"/>
    <mergeCell ref="O8:X9"/>
    <mergeCell ref="Y9:AH9"/>
    <mergeCell ref="AI9:AQ9"/>
    <mergeCell ref="AR9:AZ9"/>
    <mergeCell ref="BA9:BJ9"/>
    <mergeCell ref="Y8:BJ8"/>
    <mergeCell ref="P6:AV6"/>
    <mergeCell ref="BB6:BJ7"/>
    <mergeCell ref="AU54:BB54"/>
    <mergeCell ref="C18:D18"/>
    <mergeCell ref="G16:I16"/>
    <mergeCell ref="BA15:BJ15"/>
    <mergeCell ref="BA16:BJ16"/>
    <mergeCell ref="AI12:AQ12"/>
    <mergeCell ref="AI13:AQ13"/>
    <mergeCell ref="AI14:AQ14"/>
    <mergeCell ref="AI16:AQ16"/>
    <mergeCell ref="AR12:AZ12"/>
    <mergeCell ref="AR13:AZ13"/>
    <mergeCell ref="AR14:AZ14"/>
    <mergeCell ref="AR15:AZ15"/>
    <mergeCell ref="AR16:AZ16"/>
    <mergeCell ref="Q23:V25"/>
    <mergeCell ref="M25:P25"/>
    <mergeCell ref="AG25:AK25"/>
    <mergeCell ref="AL25:AP25"/>
    <mergeCell ref="D27:G27"/>
    <mergeCell ref="H27:J27"/>
    <mergeCell ref="K27:N27"/>
    <mergeCell ref="Q27:V27"/>
    <mergeCell ref="W27:AA27"/>
    <mergeCell ref="AI28:AM28"/>
    <mergeCell ref="BF30:BJ30"/>
    <mergeCell ref="BA28:BE28"/>
    <mergeCell ref="BF28:BJ28"/>
    <mergeCell ref="BA31:BE31"/>
    <mergeCell ref="BF31:BJ31"/>
    <mergeCell ref="AV31:AZ31"/>
    <mergeCell ref="AQ28:AU28"/>
    <mergeCell ref="AV28:AZ28"/>
    <mergeCell ref="AV30:AZ30"/>
    <mergeCell ref="BA30:BE30"/>
    <mergeCell ref="AQ29:AU29"/>
    <mergeCell ref="AV29:AZ29"/>
    <mergeCell ref="BA29:BE29"/>
    <mergeCell ref="BF29:BJ29"/>
    <mergeCell ref="AI30:AM30"/>
    <mergeCell ref="AQ30:AU30"/>
    <mergeCell ref="AL41:AP41"/>
    <mergeCell ref="AI27:AM27"/>
    <mergeCell ref="M34:P34"/>
    <mergeCell ref="Q31:V31"/>
    <mergeCell ref="W31:AA31"/>
    <mergeCell ref="AB31:AF31"/>
    <mergeCell ref="AG31:AK31"/>
    <mergeCell ref="AL31:AP31"/>
    <mergeCell ref="AQ31:AU31"/>
    <mergeCell ref="AB27:AF27"/>
    <mergeCell ref="AG38:AK38"/>
    <mergeCell ref="AL38:AP38"/>
    <mergeCell ref="AQ38:AU38"/>
    <mergeCell ref="AI29:AM29"/>
    <mergeCell ref="B19:D19"/>
    <mergeCell ref="AI15:AQ15"/>
    <mergeCell ref="G15:I15"/>
    <mergeCell ref="AE54:AL54"/>
    <mergeCell ref="AM54:AT54"/>
    <mergeCell ref="B48:BJ48"/>
    <mergeCell ref="B50:N51"/>
    <mergeCell ref="O51:V51"/>
    <mergeCell ref="AE51:AL51"/>
    <mergeCell ref="O50:AL50"/>
    <mergeCell ref="AM50:BJ50"/>
    <mergeCell ref="AM51:AT51"/>
    <mergeCell ref="BI52:BJ52"/>
    <mergeCell ref="AU51:BB51"/>
    <mergeCell ref="BC51:BJ51"/>
    <mergeCell ref="W51:AD51"/>
    <mergeCell ref="C54:F54"/>
    <mergeCell ref="J54:M54"/>
    <mergeCell ref="G54:I54"/>
    <mergeCell ref="AS52:AT52"/>
    <mergeCell ref="BA52:BB52"/>
    <mergeCell ref="O54:V54"/>
    <mergeCell ref="BC54:BJ54"/>
    <mergeCell ref="W54:AD54"/>
    <mergeCell ref="G58:I58"/>
    <mergeCell ref="O55:V55"/>
    <mergeCell ref="W55:AD55"/>
    <mergeCell ref="O57:V57"/>
    <mergeCell ref="W57:AD57"/>
    <mergeCell ref="O56:V56"/>
    <mergeCell ref="W56:AD56"/>
    <mergeCell ref="O58:V58"/>
    <mergeCell ref="W58:AD58"/>
    <mergeCell ref="AE57:AL57"/>
    <mergeCell ref="AM57:AT57"/>
    <mergeCell ref="AU57:BB57"/>
    <mergeCell ref="G55:I55"/>
    <mergeCell ref="G56:I56"/>
    <mergeCell ref="AE55:AL55"/>
    <mergeCell ref="AM55:AT55"/>
    <mergeCell ref="AU55:BB55"/>
    <mergeCell ref="BC57:BJ57"/>
    <mergeCell ref="G57:I57"/>
    <mergeCell ref="BC55:BJ55"/>
    <mergeCell ref="AE56:AL56"/>
    <mergeCell ref="AM56:AT56"/>
    <mergeCell ref="AU56:BB56"/>
    <mergeCell ref="BC56:BJ56"/>
    <mergeCell ref="AE58:AL58"/>
    <mergeCell ref="AM58:AT58"/>
    <mergeCell ref="AU58:BB58"/>
    <mergeCell ref="BC58:BJ58"/>
    <mergeCell ref="U62:V62"/>
    <mergeCell ref="AC62:AD62"/>
    <mergeCell ref="AK62:AL62"/>
    <mergeCell ref="AS62:AT62"/>
    <mergeCell ref="BA62:BB62"/>
    <mergeCell ref="BI62:BJ62"/>
    <mergeCell ref="B60:N61"/>
    <mergeCell ref="O60:AL60"/>
    <mergeCell ref="AM60:BJ60"/>
    <mergeCell ref="O61:V61"/>
    <mergeCell ref="W61:AD61"/>
    <mergeCell ref="AE61:AL61"/>
    <mergeCell ref="AM61:AT61"/>
    <mergeCell ref="AU61:BB61"/>
    <mergeCell ref="BC61:BJ61"/>
    <mergeCell ref="AM65:AT65"/>
    <mergeCell ref="AU65:BB65"/>
    <mergeCell ref="BC65:BJ65"/>
    <mergeCell ref="C64:F64"/>
    <mergeCell ref="G64:I64"/>
    <mergeCell ref="J64:M64"/>
    <mergeCell ref="O64:V64"/>
    <mergeCell ref="W64:AD64"/>
    <mergeCell ref="AE64:AL64"/>
    <mergeCell ref="AM64:AT64"/>
    <mergeCell ref="AU64:BB64"/>
    <mergeCell ref="BC64:BJ64"/>
    <mergeCell ref="G65:I65"/>
    <mergeCell ref="O65:V65"/>
    <mergeCell ref="W65:AD65"/>
    <mergeCell ref="AE65:AL65"/>
    <mergeCell ref="C70:D70"/>
    <mergeCell ref="F70:G70"/>
    <mergeCell ref="F71:G71"/>
    <mergeCell ref="B72:D72"/>
    <mergeCell ref="G68:I68"/>
    <mergeCell ref="O68:V68"/>
    <mergeCell ref="AE67:AL67"/>
    <mergeCell ref="AM67:AT67"/>
    <mergeCell ref="AU67:BB67"/>
    <mergeCell ref="BC68:BJ68"/>
    <mergeCell ref="W68:AD68"/>
    <mergeCell ref="AE68:AL68"/>
    <mergeCell ref="AM68:AT68"/>
    <mergeCell ref="AU68:BB68"/>
    <mergeCell ref="BC66:BJ66"/>
    <mergeCell ref="G67:I67"/>
    <mergeCell ref="O67:V67"/>
    <mergeCell ref="W67:AD67"/>
    <mergeCell ref="BC67:BJ67"/>
    <mergeCell ref="G66:I66"/>
    <mergeCell ref="O66:V66"/>
    <mergeCell ref="W66:AD66"/>
    <mergeCell ref="AE66:AL66"/>
    <mergeCell ref="AM66:AT66"/>
    <mergeCell ref="AU66:BB66"/>
  </mergeCells>
  <phoneticPr fontId="15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BK52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0.5" customHeight="1"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7"/>
      <c r="AT1" s="157"/>
      <c r="AV1" s="158"/>
      <c r="AW1" s="570">
        <f>'196'!A1+1</f>
        <v>197</v>
      </c>
      <c r="AX1" s="570"/>
      <c r="AY1" s="570"/>
      <c r="AZ1" s="570"/>
      <c r="BA1" s="570"/>
      <c r="BB1" s="570"/>
      <c r="BC1" s="570"/>
      <c r="BD1" s="570"/>
      <c r="BE1" s="570"/>
      <c r="BF1" s="570"/>
      <c r="BG1" s="570"/>
      <c r="BH1" s="570"/>
      <c r="BI1" s="570"/>
      <c r="BJ1" s="570"/>
      <c r="BK1" s="570"/>
    </row>
    <row r="2" spans="2:63" ht="12" customHeight="1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AV2" s="57"/>
      <c r="AW2" s="737"/>
      <c r="AX2" s="737"/>
      <c r="AY2" s="737"/>
      <c r="AZ2" s="737"/>
      <c r="BA2" s="737"/>
      <c r="BB2" s="737"/>
      <c r="BC2" s="737"/>
      <c r="BD2" s="737"/>
      <c r="BE2" s="737"/>
      <c r="BF2" s="737"/>
      <c r="BG2" s="737"/>
      <c r="BH2" s="737"/>
      <c r="BI2" s="737"/>
      <c r="BJ2" s="737"/>
      <c r="BK2" s="737"/>
    </row>
    <row r="3" spans="2:63"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AV3" s="162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</row>
    <row r="4" spans="2:63"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AV4" s="162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</row>
    <row r="5" spans="2:63" ht="12" customHeight="1"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380" t="s">
        <v>305</v>
      </c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162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</row>
    <row r="6" spans="2:6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3" ht="12" customHeight="1">
      <c r="B7" s="381" t="s">
        <v>1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740" t="s">
        <v>304</v>
      </c>
      <c r="P7" s="741"/>
      <c r="Q7" s="741"/>
      <c r="R7" s="741"/>
      <c r="S7" s="741"/>
      <c r="T7" s="741"/>
      <c r="U7" s="741"/>
      <c r="V7" s="741"/>
      <c r="W7" s="741"/>
      <c r="X7" s="741"/>
      <c r="Y7" s="740" t="s">
        <v>303</v>
      </c>
      <c r="Z7" s="741"/>
      <c r="AA7" s="741"/>
      <c r="AB7" s="741"/>
      <c r="AC7" s="741"/>
      <c r="AD7" s="741"/>
      <c r="AE7" s="741"/>
      <c r="AF7" s="741"/>
      <c r="AG7" s="741"/>
      <c r="AH7" s="741"/>
      <c r="AI7" s="740" t="s">
        <v>302</v>
      </c>
      <c r="AJ7" s="741"/>
      <c r="AK7" s="741"/>
      <c r="AL7" s="741"/>
      <c r="AM7" s="741"/>
      <c r="AN7" s="741"/>
      <c r="AO7" s="741"/>
      <c r="AP7" s="741"/>
      <c r="AQ7" s="741"/>
      <c r="AR7" s="741"/>
      <c r="AS7" s="382" t="s">
        <v>301</v>
      </c>
      <c r="AT7" s="382"/>
      <c r="AU7" s="382"/>
      <c r="AV7" s="382"/>
      <c r="AW7" s="382"/>
      <c r="AX7" s="382"/>
      <c r="AY7" s="382"/>
      <c r="AZ7" s="382"/>
      <c r="BA7" s="382"/>
      <c r="BB7" s="382" t="s">
        <v>300</v>
      </c>
      <c r="BC7" s="382"/>
      <c r="BD7" s="382"/>
      <c r="BE7" s="382"/>
      <c r="BF7" s="382"/>
      <c r="BG7" s="382"/>
      <c r="BH7" s="382"/>
      <c r="BI7" s="382"/>
      <c r="BJ7" s="406"/>
    </row>
    <row r="8" spans="2:63" ht="12" customHeight="1">
      <c r="B8" s="383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742"/>
      <c r="P8" s="742"/>
      <c r="Q8" s="742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42"/>
      <c r="AC8" s="742"/>
      <c r="AD8" s="742"/>
      <c r="AE8" s="742"/>
      <c r="AF8" s="742"/>
      <c r="AG8" s="742"/>
      <c r="AH8" s="742"/>
      <c r="AI8" s="742"/>
      <c r="AJ8" s="742"/>
      <c r="AK8" s="742"/>
      <c r="AL8" s="742"/>
      <c r="AM8" s="742"/>
      <c r="AN8" s="742"/>
      <c r="AO8" s="742"/>
      <c r="AP8" s="742"/>
      <c r="AQ8" s="742"/>
      <c r="AR8" s="742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4"/>
      <c r="BH8" s="384"/>
      <c r="BI8" s="384"/>
      <c r="BJ8" s="407"/>
    </row>
    <row r="9" spans="2:63" ht="8.1" customHeight="1">
      <c r="N9" s="21"/>
    </row>
    <row r="10" spans="2:63" ht="12" customHeight="1">
      <c r="C10" s="389" t="s">
        <v>7</v>
      </c>
      <c r="D10" s="389"/>
      <c r="E10" s="389"/>
      <c r="F10" s="389"/>
      <c r="G10" s="380">
        <v>20</v>
      </c>
      <c r="H10" s="380"/>
      <c r="I10" s="380"/>
      <c r="J10" s="389" t="s">
        <v>1</v>
      </c>
      <c r="K10" s="389"/>
      <c r="L10" s="389"/>
      <c r="M10" s="389"/>
      <c r="N10" s="22"/>
      <c r="O10" s="681">
        <v>25177</v>
      </c>
      <c r="P10" s="743"/>
      <c r="Q10" s="743"/>
      <c r="R10" s="743"/>
      <c r="S10" s="743"/>
      <c r="T10" s="743"/>
      <c r="U10" s="743"/>
      <c r="V10" s="743"/>
      <c r="W10" s="743"/>
      <c r="X10" s="743"/>
      <c r="Y10" s="681">
        <v>24291</v>
      </c>
      <c r="Z10" s="743"/>
      <c r="AA10" s="743"/>
      <c r="AB10" s="743"/>
      <c r="AC10" s="743"/>
      <c r="AD10" s="743"/>
      <c r="AE10" s="743"/>
      <c r="AF10" s="743"/>
      <c r="AG10" s="743"/>
      <c r="AH10" s="743"/>
      <c r="AI10" s="681">
        <v>24450</v>
      </c>
      <c r="AJ10" s="743"/>
      <c r="AK10" s="743"/>
      <c r="AL10" s="743"/>
      <c r="AM10" s="743"/>
      <c r="AN10" s="743"/>
      <c r="AO10" s="743"/>
      <c r="AP10" s="743"/>
      <c r="AQ10" s="743"/>
      <c r="AR10" s="743"/>
      <c r="AS10" s="681">
        <v>730</v>
      </c>
      <c r="AT10" s="743"/>
      <c r="AU10" s="743"/>
      <c r="AV10" s="743"/>
      <c r="AW10" s="743"/>
      <c r="AX10" s="743"/>
      <c r="AY10" s="743"/>
      <c r="AZ10" s="743"/>
      <c r="BA10" s="743"/>
      <c r="BB10" s="681">
        <v>23426</v>
      </c>
      <c r="BC10" s="393"/>
      <c r="BD10" s="393"/>
      <c r="BE10" s="393"/>
      <c r="BF10" s="393"/>
      <c r="BG10" s="393"/>
      <c r="BH10" s="393"/>
      <c r="BI10" s="393"/>
      <c r="BJ10" s="393"/>
    </row>
    <row r="11" spans="2:63" ht="12" customHeight="1">
      <c r="G11" s="380">
        <v>21</v>
      </c>
      <c r="H11" s="380"/>
      <c r="I11" s="380"/>
      <c r="N11" s="22"/>
      <c r="O11" s="681">
        <v>22360</v>
      </c>
      <c r="P11" s="743"/>
      <c r="Q11" s="743"/>
      <c r="R11" s="743"/>
      <c r="S11" s="743"/>
      <c r="T11" s="743"/>
      <c r="U11" s="743"/>
      <c r="V11" s="743"/>
      <c r="W11" s="743"/>
      <c r="X11" s="743"/>
      <c r="Y11" s="681">
        <v>21553</v>
      </c>
      <c r="Z11" s="743"/>
      <c r="AA11" s="743"/>
      <c r="AB11" s="743"/>
      <c r="AC11" s="743"/>
      <c r="AD11" s="743"/>
      <c r="AE11" s="743"/>
      <c r="AF11" s="743"/>
      <c r="AG11" s="743"/>
      <c r="AH11" s="743"/>
      <c r="AI11" s="681">
        <v>21716</v>
      </c>
      <c r="AJ11" s="743"/>
      <c r="AK11" s="743"/>
      <c r="AL11" s="743"/>
      <c r="AM11" s="743"/>
      <c r="AN11" s="743"/>
      <c r="AO11" s="743"/>
      <c r="AP11" s="743"/>
      <c r="AQ11" s="743"/>
      <c r="AR11" s="743"/>
      <c r="AS11" s="681">
        <v>673</v>
      </c>
      <c r="AT11" s="743"/>
      <c r="AU11" s="743"/>
      <c r="AV11" s="743"/>
      <c r="AW11" s="743"/>
      <c r="AX11" s="743"/>
      <c r="AY11" s="743"/>
      <c r="AZ11" s="743"/>
      <c r="BA11" s="743"/>
      <c r="BB11" s="681">
        <v>21407</v>
      </c>
      <c r="BC11" s="393"/>
      <c r="BD11" s="393"/>
      <c r="BE11" s="393"/>
      <c r="BF11" s="393"/>
      <c r="BG11" s="393"/>
      <c r="BH11" s="393"/>
      <c r="BI11" s="393"/>
      <c r="BJ11" s="393"/>
    </row>
    <row r="12" spans="2:63" ht="12" customHeight="1">
      <c r="G12" s="380">
        <v>22</v>
      </c>
      <c r="H12" s="380"/>
      <c r="I12" s="380"/>
      <c r="N12" s="22"/>
      <c r="O12" s="681">
        <v>27928</v>
      </c>
      <c r="P12" s="743"/>
      <c r="Q12" s="743"/>
      <c r="R12" s="743"/>
      <c r="S12" s="743"/>
      <c r="T12" s="743"/>
      <c r="U12" s="743"/>
      <c r="V12" s="743"/>
      <c r="W12" s="743"/>
      <c r="X12" s="743"/>
      <c r="Y12" s="681">
        <v>27030</v>
      </c>
      <c r="Z12" s="743"/>
      <c r="AA12" s="743"/>
      <c r="AB12" s="743"/>
      <c r="AC12" s="743"/>
      <c r="AD12" s="743"/>
      <c r="AE12" s="743"/>
      <c r="AF12" s="743"/>
      <c r="AG12" s="743"/>
      <c r="AH12" s="743"/>
      <c r="AI12" s="681">
        <v>27135</v>
      </c>
      <c r="AJ12" s="743"/>
      <c r="AK12" s="743"/>
      <c r="AL12" s="743"/>
      <c r="AM12" s="743"/>
      <c r="AN12" s="743"/>
      <c r="AO12" s="743"/>
      <c r="AP12" s="743"/>
      <c r="AQ12" s="743"/>
      <c r="AR12" s="743"/>
      <c r="AS12" s="681">
        <v>736</v>
      </c>
      <c r="AT12" s="743"/>
      <c r="AU12" s="743"/>
      <c r="AV12" s="743"/>
      <c r="AW12" s="743"/>
      <c r="AX12" s="743"/>
      <c r="AY12" s="743"/>
      <c r="AZ12" s="743"/>
      <c r="BA12" s="743"/>
      <c r="BB12" s="681">
        <v>25874</v>
      </c>
      <c r="BC12" s="393"/>
      <c r="BD12" s="393"/>
      <c r="BE12" s="393"/>
      <c r="BF12" s="393"/>
      <c r="BG12" s="393"/>
      <c r="BH12" s="393"/>
      <c r="BI12" s="393"/>
      <c r="BJ12" s="393"/>
    </row>
    <row r="13" spans="2:63" ht="12" customHeight="1">
      <c r="G13" s="380">
        <v>23</v>
      </c>
      <c r="H13" s="380"/>
      <c r="I13" s="380"/>
      <c r="N13" s="22"/>
      <c r="O13" s="681">
        <v>26465</v>
      </c>
      <c r="P13" s="743"/>
      <c r="Q13" s="743"/>
      <c r="R13" s="743"/>
      <c r="S13" s="743"/>
      <c r="T13" s="743"/>
      <c r="U13" s="743"/>
      <c r="V13" s="743"/>
      <c r="W13" s="743"/>
      <c r="X13" s="743"/>
      <c r="Y13" s="681">
        <v>25602</v>
      </c>
      <c r="Z13" s="743"/>
      <c r="AA13" s="743"/>
      <c r="AB13" s="743"/>
      <c r="AC13" s="743"/>
      <c r="AD13" s="743"/>
      <c r="AE13" s="743"/>
      <c r="AF13" s="743"/>
      <c r="AG13" s="743"/>
      <c r="AH13" s="743"/>
      <c r="AI13" s="681">
        <v>25659</v>
      </c>
      <c r="AJ13" s="743"/>
      <c r="AK13" s="743"/>
      <c r="AL13" s="743"/>
      <c r="AM13" s="743"/>
      <c r="AN13" s="743"/>
      <c r="AO13" s="743"/>
      <c r="AP13" s="743"/>
      <c r="AQ13" s="743"/>
      <c r="AR13" s="743"/>
      <c r="AS13" s="681">
        <v>720</v>
      </c>
      <c r="AT13" s="743"/>
      <c r="AU13" s="743"/>
      <c r="AV13" s="743"/>
      <c r="AW13" s="743"/>
      <c r="AX13" s="743"/>
      <c r="AY13" s="743"/>
      <c r="AZ13" s="743"/>
      <c r="BA13" s="743"/>
      <c r="BB13" s="681">
        <v>25567</v>
      </c>
      <c r="BC13" s="393"/>
      <c r="BD13" s="393"/>
      <c r="BE13" s="393"/>
      <c r="BF13" s="393"/>
      <c r="BG13" s="393"/>
      <c r="BH13" s="393"/>
      <c r="BI13" s="393"/>
      <c r="BJ13" s="393"/>
    </row>
    <row r="14" spans="2:63" ht="12" customHeight="1">
      <c r="G14" s="392">
        <v>24</v>
      </c>
      <c r="H14" s="392"/>
      <c r="I14" s="392"/>
      <c r="N14" s="6"/>
      <c r="O14" s="744">
        <v>27296</v>
      </c>
      <c r="P14" s="701"/>
      <c r="Q14" s="701"/>
      <c r="R14" s="701"/>
      <c r="S14" s="701"/>
      <c r="T14" s="701"/>
      <c r="U14" s="701"/>
      <c r="V14" s="701"/>
      <c r="W14" s="701"/>
      <c r="X14" s="701"/>
      <c r="Y14" s="701">
        <v>26392</v>
      </c>
      <c r="Z14" s="701"/>
      <c r="AA14" s="701"/>
      <c r="AB14" s="701"/>
      <c r="AC14" s="701"/>
      <c r="AD14" s="701"/>
      <c r="AE14" s="701"/>
      <c r="AF14" s="701"/>
      <c r="AG14" s="701"/>
      <c r="AH14" s="701"/>
      <c r="AI14" s="701">
        <v>26552</v>
      </c>
      <c r="AJ14" s="701"/>
      <c r="AK14" s="701"/>
      <c r="AL14" s="701"/>
      <c r="AM14" s="701"/>
      <c r="AN14" s="701"/>
      <c r="AO14" s="701"/>
      <c r="AP14" s="701"/>
      <c r="AQ14" s="701"/>
      <c r="AR14" s="701"/>
      <c r="AS14" s="701">
        <v>760</v>
      </c>
      <c r="AT14" s="701"/>
      <c r="AU14" s="701"/>
      <c r="AV14" s="701"/>
      <c r="AW14" s="701"/>
      <c r="AX14" s="701"/>
      <c r="AY14" s="701"/>
      <c r="AZ14" s="701"/>
      <c r="BA14" s="701"/>
      <c r="BB14" s="701">
        <v>25879</v>
      </c>
      <c r="BC14" s="745"/>
      <c r="BD14" s="745"/>
      <c r="BE14" s="745"/>
      <c r="BF14" s="745"/>
      <c r="BG14" s="745"/>
      <c r="BH14" s="745"/>
      <c r="BI14" s="745"/>
      <c r="BJ14" s="745"/>
    </row>
    <row r="15" spans="2:63" ht="8.1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2:63" ht="12" customHeight="1">
      <c r="B16" s="410" t="s">
        <v>9</v>
      </c>
      <c r="C16" s="410"/>
      <c r="D16" s="410"/>
      <c r="E16" s="54" t="s">
        <v>170</v>
      </c>
      <c r="F16" s="2" t="s">
        <v>233</v>
      </c>
    </row>
    <row r="17" spans="2:62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</row>
    <row r="18" spans="2:62" ht="12" customHeight="1"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380" t="s">
        <v>359</v>
      </c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57"/>
      <c r="BB18" s="738" t="s">
        <v>17</v>
      </c>
      <c r="BC18" s="738"/>
      <c r="BD18" s="738"/>
      <c r="BE18" s="738"/>
      <c r="BF18" s="738"/>
      <c r="BG18" s="738"/>
      <c r="BH18" s="738"/>
      <c r="BI18" s="738"/>
      <c r="BJ18" s="738"/>
    </row>
    <row r="19" spans="2:62">
      <c r="B19" s="12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739"/>
      <c r="BC19" s="739"/>
      <c r="BD19" s="739"/>
      <c r="BE19" s="739"/>
      <c r="BF19" s="739"/>
      <c r="BG19" s="739"/>
      <c r="BH19" s="739"/>
      <c r="BI19" s="739"/>
      <c r="BJ19" s="739"/>
    </row>
    <row r="20" spans="2:62" ht="12" customHeight="1">
      <c r="B20" s="411" t="s">
        <v>1</v>
      </c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 t="s">
        <v>18</v>
      </c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 t="s">
        <v>456</v>
      </c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 t="s">
        <v>299</v>
      </c>
      <c r="AN20" s="386"/>
      <c r="AO20" s="386"/>
      <c r="AP20" s="386"/>
      <c r="AQ20" s="386"/>
      <c r="AR20" s="386"/>
      <c r="AS20" s="386"/>
      <c r="AT20" s="386"/>
      <c r="AU20" s="386"/>
      <c r="AV20" s="386"/>
      <c r="AW20" s="386"/>
      <c r="AX20" s="386"/>
      <c r="AY20" s="386" t="s">
        <v>298</v>
      </c>
      <c r="AZ20" s="386"/>
      <c r="BA20" s="386"/>
      <c r="BB20" s="386"/>
      <c r="BC20" s="386"/>
      <c r="BD20" s="386"/>
      <c r="BE20" s="386"/>
      <c r="BF20" s="386"/>
      <c r="BG20" s="386"/>
      <c r="BH20" s="386"/>
      <c r="BI20" s="386"/>
      <c r="BJ20" s="387"/>
    </row>
    <row r="21" spans="2:62" ht="12" customHeight="1">
      <c r="B21" s="412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470" t="s">
        <v>238</v>
      </c>
      <c r="P21" s="470"/>
      <c r="Q21" s="470"/>
      <c r="R21" s="470"/>
      <c r="S21" s="385" t="s">
        <v>293</v>
      </c>
      <c r="T21" s="385"/>
      <c r="U21" s="385"/>
      <c r="V21" s="385"/>
      <c r="W21" s="385" t="s">
        <v>292</v>
      </c>
      <c r="X21" s="385"/>
      <c r="Y21" s="385"/>
      <c r="Z21" s="385"/>
      <c r="AA21" s="470" t="s">
        <v>238</v>
      </c>
      <c r="AB21" s="470"/>
      <c r="AC21" s="470"/>
      <c r="AD21" s="470"/>
      <c r="AE21" s="385" t="s">
        <v>293</v>
      </c>
      <c r="AF21" s="385"/>
      <c r="AG21" s="385"/>
      <c r="AH21" s="385"/>
      <c r="AI21" s="385" t="s">
        <v>292</v>
      </c>
      <c r="AJ21" s="385"/>
      <c r="AK21" s="385"/>
      <c r="AL21" s="385"/>
      <c r="AM21" s="470" t="s">
        <v>238</v>
      </c>
      <c r="AN21" s="470"/>
      <c r="AO21" s="470"/>
      <c r="AP21" s="470"/>
      <c r="AQ21" s="385" t="s">
        <v>293</v>
      </c>
      <c r="AR21" s="385"/>
      <c r="AS21" s="385"/>
      <c r="AT21" s="385"/>
      <c r="AU21" s="385" t="s">
        <v>292</v>
      </c>
      <c r="AV21" s="385"/>
      <c r="AW21" s="385"/>
      <c r="AX21" s="385"/>
      <c r="AY21" s="470" t="s">
        <v>238</v>
      </c>
      <c r="AZ21" s="470"/>
      <c r="BA21" s="470"/>
      <c r="BB21" s="470"/>
      <c r="BC21" s="385" t="s">
        <v>293</v>
      </c>
      <c r="BD21" s="385"/>
      <c r="BE21" s="385"/>
      <c r="BF21" s="385"/>
      <c r="BG21" s="385" t="s">
        <v>292</v>
      </c>
      <c r="BH21" s="385"/>
      <c r="BI21" s="385"/>
      <c r="BJ21" s="388"/>
    </row>
    <row r="22" spans="2:62" ht="8.1" customHeight="1">
      <c r="N22" s="21"/>
    </row>
    <row r="23" spans="2:62" ht="12" customHeight="1">
      <c r="C23" s="389" t="s">
        <v>7</v>
      </c>
      <c r="D23" s="389"/>
      <c r="E23" s="389"/>
      <c r="F23" s="389"/>
      <c r="G23" s="380">
        <v>20</v>
      </c>
      <c r="H23" s="380"/>
      <c r="I23" s="380"/>
      <c r="J23" s="389" t="s">
        <v>1</v>
      </c>
      <c r="K23" s="389"/>
      <c r="L23" s="389"/>
      <c r="M23" s="389"/>
      <c r="N23" s="22"/>
      <c r="O23" s="746">
        <f>SUM(S23:Z23)</f>
        <v>21681</v>
      </c>
      <c r="P23" s="746"/>
      <c r="Q23" s="746"/>
      <c r="R23" s="746"/>
      <c r="S23" s="746">
        <v>21061</v>
      </c>
      <c r="T23" s="746"/>
      <c r="U23" s="746"/>
      <c r="V23" s="746"/>
      <c r="W23" s="666">
        <v>620</v>
      </c>
      <c r="X23" s="666"/>
      <c r="Y23" s="666"/>
      <c r="Z23" s="666"/>
      <c r="AA23" s="666">
        <v>1108</v>
      </c>
      <c r="AB23" s="666"/>
      <c r="AC23" s="666"/>
      <c r="AD23" s="666"/>
      <c r="AE23" s="667">
        <v>1100</v>
      </c>
      <c r="AF23" s="667"/>
      <c r="AG23" s="667"/>
      <c r="AH23" s="667"/>
      <c r="AI23" s="667">
        <v>8</v>
      </c>
      <c r="AJ23" s="667"/>
      <c r="AK23" s="667"/>
      <c r="AL23" s="667"/>
      <c r="AM23" s="748">
        <v>2544</v>
      </c>
      <c r="AN23" s="748"/>
      <c r="AO23" s="748"/>
      <c r="AP23" s="748"/>
      <c r="AQ23" s="748">
        <v>2500</v>
      </c>
      <c r="AR23" s="748"/>
      <c r="AS23" s="748"/>
      <c r="AT23" s="748"/>
      <c r="AU23" s="748">
        <v>44</v>
      </c>
      <c r="AV23" s="748"/>
      <c r="AW23" s="748"/>
      <c r="AX23" s="748"/>
      <c r="AY23" s="667">
        <v>3582</v>
      </c>
      <c r="AZ23" s="667"/>
      <c r="BA23" s="667"/>
      <c r="BB23" s="667"/>
      <c r="BC23" s="667">
        <v>3505</v>
      </c>
      <c r="BD23" s="667"/>
      <c r="BE23" s="667"/>
      <c r="BF23" s="667"/>
      <c r="BG23" s="667">
        <v>77</v>
      </c>
      <c r="BH23" s="667"/>
      <c r="BI23" s="667"/>
      <c r="BJ23" s="667"/>
    </row>
    <row r="24" spans="2:62" ht="12" customHeight="1">
      <c r="G24" s="380">
        <v>21</v>
      </c>
      <c r="H24" s="380"/>
      <c r="I24" s="380"/>
      <c r="N24" s="22"/>
      <c r="O24" s="746">
        <f>SUM(S24:Z24)</f>
        <v>22741</v>
      </c>
      <c r="P24" s="746"/>
      <c r="Q24" s="746"/>
      <c r="R24" s="746"/>
      <c r="S24" s="746">
        <v>22090</v>
      </c>
      <c r="T24" s="746"/>
      <c r="U24" s="746"/>
      <c r="V24" s="746"/>
      <c r="W24" s="666">
        <v>651</v>
      </c>
      <c r="X24" s="666"/>
      <c r="Y24" s="666"/>
      <c r="Z24" s="666"/>
      <c r="AA24" s="666">
        <v>1375</v>
      </c>
      <c r="AB24" s="666"/>
      <c r="AC24" s="666"/>
      <c r="AD24" s="666"/>
      <c r="AE24" s="667">
        <v>1366</v>
      </c>
      <c r="AF24" s="667"/>
      <c r="AG24" s="667"/>
      <c r="AH24" s="667"/>
      <c r="AI24" s="667">
        <v>9</v>
      </c>
      <c r="AJ24" s="667"/>
      <c r="AK24" s="667"/>
      <c r="AL24" s="667"/>
      <c r="AM24" s="748">
        <v>2454</v>
      </c>
      <c r="AN24" s="748"/>
      <c r="AO24" s="748"/>
      <c r="AP24" s="748"/>
      <c r="AQ24" s="748">
        <v>2415</v>
      </c>
      <c r="AR24" s="748"/>
      <c r="AS24" s="748"/>
      <c r="AT24" s="748"/>
      <c r="AU24" s="748">
        <v>39</v>
      </c>
      <c r="AV24" s="748"/>
      <c r="AW24" s="748"/>
      <c r="AX24" s="748"/>
      <c r="AY24" s="667">
        <v>3770</v>
      </c>
      <c r="AZ24" s="667"/>
      <c r="BA24" s="667"/>
      <c r="BB24" s="667"/>
      <c r="BC24" s="667">
        <v>3685</v>
      </c>
      <c r="BD24" s="667"/>
      <c r="BE24" s="667"/>
      <c r="BF24" s="667"/>
      <c r="BG24" s="667">
        <v>85</v>
      </c>
      <c r="BH24" s="667"/>
      <c r="BI24" s="667"/>
      <c r="BJ24" s="667"/>
    </row>
    <row r="25" spans="2:62" ht="12" customHeight="1">
      <c r="G25" s="380">
        <v>22</v>
      </c>
      <c r="H25" s="380"/>
      <c r="I25" s="380"/>
      <c r="N25" s="22"/>
      <c r="O25" s="746">
        <f>SUM(S25:Z25)</f>
        <v>24051</v>
      </c>
      <c r="P25" s="746"/>
      <c r="Q25" s="746"/>
      <c r="R25" s="746"/>
      <c r="S25" s="749">
        <v>23396</v>
      </c>
      <c r="T25" s="749"/>
      <c r="U25" s="749"/>
      <c r="V25" s="749"/>
      <c r="W25" s="750">
        <v>655</v>
      </c>
      <c r="X25" s="750"/>
      <c r="Y25" s="750"/>
      <c r="Z25" s="750"/>
      <c r="AA25" s="750">
        <v>1647</v>
      </c>
      <c r="AB25" s="750"/>
      <c r="AC25" s="750"/>
      <c r="AD25" s="750"/>
      <c r="AE25" s="681">
        <v>1624</v>
      </c>
      <c r="AF25" s="681"/>
      <c r="AG25" s="681"/>
      <c r="AH25" s="681"/>
      <c r="AI25" s="681">
        <v>23</v>
      </c>
      <c r="AJ25" s="681"/>
      <c r="AK25" s="681"/>
      <c r="AL25" s="681"/>
      <c r="AM25" s="751">
        <v>2561</v>
      </c>
      <c r="AN25" s="751"/>
      <c r="AO25" s="751"/>
      <c r="AP25" s="751"/>
      <c r="AQ25" s="681">
        <v>2523</v>
      </c>
      <c r="AR25" s="681"/>
      <c r="AS25" s="681"/>
      <c r="AT25" s="681"/>
      <c r="AU25" s="681">
        <v>38</v>
      </c>
      <c r="AV25" s="681"/>
      <c r="AW25" s="681"/>
      <c r="AX25" s="681"/>
      <c r="AY25" s="681">
        <v>4074</v>
      </c>
      <c r="AZ25" s="681"/>
      <c r="BA25" s="681"/>
      <c r="BB25" s="681"/>
      <c r="BC25" s="681">
        <v>4004</v>
      </c>
      <c r="BD25" s="681"/>
      <c r="BE25" s="681"/>
      <c r="BF25" s="681"/>
      <c r="BG25" s="681">
        <v>70</v>
      </c>
      <c r="BH25" s="681"/>
      <c r="BI25" s="681"/>
      <c r="BJ25" s="681"/>
    </row>
    <row r="26" spans="2:62" ht="12" customHeight="1">
      <c r="G26" s="380">
        <v>23</v>
      </c>
      <c r="H26" s="380"/>
      <c r="I26" s="380"/>
      <c r="N26" s="22"/>
      <c r="O26" s="746">
        <f>SUM(S26:Z26)</f>
        <v>25710</v>
      </c>
      <c r="P26" s="746"/>
      <c r="Q26" s="746"/>
      <c r="R26" s="746"/>
      <c r="S26" s="746">
        <f>SUM(AE26,AQ26,BC26,S35,AE35,AQ35,BC35)</f>
        <v>25055</v>
      </c>
      <c r="T26" s="746"/>
      <c r="U26" s="746"/>
      <c r="V26" s="746"/>
      <c r="W26" s="666">
        <f>SUM(AI26,AU26,BG26,W35,AI35,AU35,BG35)</f>
        <v>655</v>
      </c>
      <c r="X26" s="666"/>
      <c r="Y26" s="666"/>
      <c r="Z26" s="666"/>
      <c r="AA26" s="666">
        <v>1862</v>
      </c>
      <c r="AB26" s="666"/>
      <c r="AC26" s="666"/>
      <c r="AD26" s="666"/>
      <c r="AE26" s="667">
        <v>1841</v>
      </c>
      <c r="AF26" s="667"/>
      <c r="AG26" s="667"/>
      <c r="AH26" s="667"/>
      <c r="AI26" s="667">
        <v>21</v>
      </c>
      <c r="AJ26" s="667"/>
      <c r="AK26" s="667"/>
      <c r="AL26" s="667"/>
      <c r="AM26" s="748">
        <v>2795</v>
      </c>
      <c r="AN26" s="748"/>
      <c r="AO26" s="748"/>
      <c r="AP26" s="748"/>
      <c r="AQ26" s="667">
        <v>2756</v>
      </c>
      <c r="AR26" s="667"/>
      <c r="AS26" s="667"/>
      <c r="AT26" s="667"/>
      <c r="AU26" s="667">
        <v>39</v>
      </c>
      <c r="AV26" s="667"/>
      <c r="AW26" s="667"/>
      <c r="AX26" s="667"/>
      <c r="AY26" s="667">
        <v>4386</v>
      </c>
      <c r="AZ26" s="667"/>
      <c r="BA26" s="667"/>
      <c r="BB26" s="667"/>
      <c r="BC26" s="667">
        <v>4303</v>
      </c>
      <c r="BD26" s="667"/>
      <c r="BE26" s="667"/>
      <c r="BF26" s="667"/>
      <c r="BG26" s="667">
        <v>83</v>
      </c>
      <c r="BH26" s="667"/>
      <c r="BI26" s="667"/>
      <c r="BJ26" s="667"/>
    </row>
    <row r="27" spans="2:62" ht="12" customHeight="1">
      <c r="G27" s="392">
        <v>24</v>
      </c>
      <c r="H27" s="392"/>
      <c r="I27" s="392"/>
      <c r="N27" s="22"/>
      <c r="O27" s="747">
        <f>SUM(S27:Z27)</f>
        <v>27498</v>
      </c>
      <c r="P27" s="747"/>
      <c r="Q27" s="747"/>
      <c r="R27" s="747"/>
      <c r="S27" s="747">
        <f>SUM(AE27,AQ27,BC27,S36,AE36,AQ36,BC36)</f>
        <v>26844</v>
      </c>
      <c r="T27" s="747"/>
      <c r="U27" s="747"/>
      <c r="V27" s="747"/>
      <c r="W27" s="672">
        <f>SUM(AI27,AU27,BG27,W36,AI36,AU36,BG36)</f>
        <v>654</v>
      </c>
      <c r="X27" s="672"/>
      <c r="Y27" s="672"/>
      <c r="Z27" s="672"/>
      <c r="AA27" s="672">
        <f>SUM(AE27:AL27)</f>
        <v>2286</v>
      </c>
      <c r="AB27" s="672"/>
      <c r="AC27" s="672"/>
      <c r="AD27" s="672"/>
      <c r="AE27" s="701">
        <v>2265</v>
      </c>
      <c r="AF27" s="701"/>
      <c r="AG27" s="701"/>
      <c r="AH27" s="701"/>
      <c r="AI27" s="701">
        <v>21</v>
      </c>
      <c r="AJ27" s="701"/>
      <c r="AK27" s="701"/>
      <c r="AL27" s="701"/>
      <c r="AM27" s="664">
        <f>SUM(AQ27:AX27)</f>
        <v>2920</v>
      </c>
      <c r="AN27" s="664"/>
      <c r="AO27" s="664"/>
      <c r="AP27" s="664"/>
      <c r="AQ27" s="701">
        <v>2876</v>
      </c>
      <c r="AR27" s="701"/>
      <c r="AS27" s="701"/>
      <c r="AT27" s="701"/>
      <c r="AU27" s="701">
        <v>44</v>
      </c>
      <c r="AV27" s="701"/>
      <c r="AW27" s="701"/>
      <c r="AX27" s="701"/>
      <c r="AY27" s="664">
        <f>SUM(BC27:BJ27)</f>
        <v>5465</v>
      </c>
      <c r="AZ27" s="664"/>
      <c r="BA27" s="664"/>
      <c r="BB27" s="664"/>
      <c r="BC27" s="701">
        <v>5364</v>
      </c>
      <c r="BD27" s="701"/>
      <c r="BE27" s="701"/>
      <c r="BF27" s="701"/>
      <c r="BG27" s="701">
        <v>101</v>
      </c>
      <c r="BH27" s="701"/>
      <c r="BI27" s="701"/>
      <c r="BJ27" s="701"/>
    </row>
    <row r="28" spans="2:62" ht="8.1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2:62" ht="12" customHeight="1">
      <c r="B29" s="411" t="s">
        <v>1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 t="s">
        <v>297</v>
      </c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 t="s">
        <v>296</v>
      </c>
      <c r="AB29" s="386"/>
      <c r="AC29" s="386"/>
      <c r="AD29" s="386"/>
      <c r="AE29" s="386"/>
      <c r="AF29" s="386"/>
      <c r="AG29" s="386"/>
      <c r="AH29" s="386"/>
      <c r="AI29" s="386"/>
      <c r="AJ29" s="386"/>
      <c r="AK29" s="386"/>
      <c r="AL29" s="386"/>
      <c r="AM29" s="386" t="s">
        <v>295</v>
      </c>
      <c r="AN29" s="386"/>
      <c r="AO29" s="386"/>
      <c r="AP29" s="386"/>
      <c r="AQ29" s="386"/>
      <c r="AR29" s="386"/>
      <c r="AS29" s="386"/>
      <c r="AT29" s="386"/>
      <c r="AU29" s="386"/>
      <c r="AV29" s="386"/>
      <c r="AW29" s="386"/>
      <c r="AX29" s="386"/>
      <c r="AY29" s="386" t="s">
        <v>294</v>
      </c>
      <c r="AZ29" s="386"/>
      <c r="BA29" s="386"/>
      <c r="BB29" s="386"/>
      <c r="BC29" s="386"/>
      <c r="BD29" s="386"/>
      <c r="BE29" s="386"/>
      <c r="BF29" s="386"/>
      <c r="BG29" s="386"/>
      <c r="BH29" s="386"/>
      <c r="BI29" s="386"/>
      <c r="BJ29" s="387"/>
    </row>
    <row r="30" spans="2:62" ht="12" customHeight="1">
      <c r="B30" s="412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470" t="s">
        <v>238</v>
      </c>
      <c r="P30" s="470"/>
      <c r="Q30" s="470"/>
      <c r="R30" s="470"/>
      <c r="S30" s="385" t="s">
        <v>293</v>
      </c>
      <c r="T30" s="385"/>
      <c r="U30" s="385"/>
      <c r="V30" s="385"/>
      <c r="W30" s="385" t="s">
        <v>292</v>
      </c>
      <c r="X30" s="385"/>
      <c r="Y30" s="385"/>
      <c r="Z30" s="385"/>
      <c r="AA30" s="470" t="s">
        <v>238</v>
      </c>
      <c r="AB30" s="470"/>
      <c r="AC30" s="470"/>
      <c r="AD30" s="470"/>
      <c r="AE30" s="385" t="s">
        <v>293</v>
      </c>
      <c r="AF30" s="385"/>
      <c r="AG30" s="385"/>
      <c r="AH30" s="385"/>
      <c r="AI30" s="385" t="s">
        <v>292</v>
      </c>
      <c r="AJ30" s="385"/>
      <c r="AK30" s="385"/>
      <c r="AL30" s="385"/>
      <c r="AM30" s="470" t="s">
        <v>238</v>
      </c>
      <c r="AN30" s="470"/>
      <c r="AO30" s="470"/>
      <c r="AP30" s="470"/>
      <c r="AQ30" s="385" t="s">
        <v>293</v>
      </c>
      <c r="AR30" s="385"/>
      <c r="AS30" s="385"/>
      <c r="AT30" s="385"/>
      <c r="AU30" s="385" t="s">
        <v>292</v>
      </c>
      <c r="AV30" s="385"/>
      <c r="AW30" s="385"/>
      <c r="AX30" s="385"/>
      <c r="AY30" s="470" t="s">
        <v>238</v>
      </c>
      <c r="AZ30" s="470"/>
      <c r="BA30" s="470"/>
      <c r="BB30" s="470"/>
      <c r="BC30" s="385" t="s">
        <v>293</v>
      </c>
      <c r="BD30" s="385"/>
      <c r="BE30" s="385"/>
      <c r="BF30" s="385"/>
      <c r="BG30" s="385" t="s">
        <v>292</v>
      </c>
      <c r="BH30" s="385"/>
      <c r="BI30" s="385"/>
      <c r="BJ30" s="388"/>
    </row>
    <row r="31" spans="2:62" ht="8.1" customHeight="1">
      <c r="N31" s="21"/>
    </row>
    <row r="32" spans="2:62" ht="12" customHeight="1">
      <c r="C32" s="389" t="s">
        <v>7</v>
      </c>
      <c r="D32" s="389"/>
      <c r="E32" s="389"/>
      <c r="F32" s="389"/>
      <c r="G32" s="380">
        <v>20</v>
      </c>
      <c r="H32" s="380"/>
      <c r="I32" s="380"/>
      <c r="J32" s="389" t="s">
        <v>1</v>
      </c>
      <c r="K32" s="389"/>
      <c r="L32" s="389"/>
      <c r="M32" s="389"/>
      <c r="N32" s="22"/>
      <c r="O32" s="666">
        <v>4970</v>
      </c>
      <c r="P32" s="666"/>
      <c r="Q32" s="666"/>
      <c r="R32" s="666"/>
      <c r="S32" s="750">
        <v>4809</v>
      </c>
      <c r="T32" s="750"/>
      <c r="U32" s="750"/>
      <c r="V32" s="750"/>
      <c r="W32" s="750">
        <v>161</v>
      </c>
      <c r="X32" s="750"/>
      <c r="Y32" s="750"/>
      <c r="Z32" s="750"/>
      <c r="AA32" s="666">
        <v>3698</v>
      </c>
      <c r="AB32" s="666"/>
      <c r="AC32" s="666"/>
      <c r="AD32" s="666"/>
      <c r="AE32" s="750">
        <v>3564</v>
      </c>
      <c r="AF32" s="750"/>
      <c r="AG32" s="750"/>
      <c r="AH32" s="750"/>
      <c r="AI32" s="750">
        <v>134</v>
      </c>
      <c r="AJ32" s="750"/>
      <c r="AK32" s="750"/>
      <c r="AL32" s="750"/>
      <c r="AM32" s="666">
        <v>3201</v>
      </c>
      <c r="AN32" s="666"/>
      <c r="AO32" s="666"/>
      <c r="AP32" s="666"/>
      <c r="AQ32" s="750">
        <v>3096</v>
      </c>
      <c r="AR32" s="750"/>
      <c r="AS32" s="750"/>
      <c r="AT32" s="750"/>
      <c r="AU32" s="750">
        <v>105</v>
      </c>
      <c r="AV32" s="750"/>
      <c r="AW32" s="750"/>
      <c r="AX32" s="750"/>
      <c r="AY32" s="666">
        <v>2578</v>
      </c>
      <c r="AZ32" s="666"/>
      <c r="BA32" s="666"/>
      <c r="BB32" s="666"/>
      <c r="BC32" s="750">
        <v>2487</v>
      </c>
      <c r="BD32" s="750"/>
      <c r="BE32" s="750"/>
      <c r="BF32" s="750"/>
      <c r="BG32" s="750">
        <v>91</v>
      </c>
      <c r="BH32" s="750"/>
      <c r="BI32" s="750"/>
      <c r="BJ32" s="750"/>
    </row>
    <row r="33" spans="2:62" ht="12" customHeight="1">
      <c r="G33" s="380">
        <v>21</v>
      </c>
      <c r="H33" s="380"/>
      <c r="I33" s="380"/>
      <c r="N33" s="22"/>
      <c r="O33" s="666">
        <v>5392</v>
      </c>
      <c r="P33" s="666"/>
      <c r="Q33" s="666"/>
      <c r="R33" s="666"/>
      <c r="S33" s="681">
        <v>5215</v>
      </c>
      <c r="T33" s="681"/>
      <c r="U33" s="681"/>
      <c r="V33" s="681"/>
      <c r="W33" s="681">
        <v>177</v>
      </c>
      <c r="X33" s="681"/>
      <c r="Y33" s="681"/>
      <c r="Z33" s="681"/>
      <c r="AA33" s="666">
        <v>3723</v>
      </c>
      <c r="AB33" s="666"/>
      <c r="AC33" s="666"/>
      <c r="AD33" s="666"/>
      <c r="AE33" s="681">
        <v>3593</v>
      </c>
      <c r="AF33" s="681"/>
      <c r="AG33" s="681"/>
      <c r="AH33" s="681"/>
      <c r="AI33" s="681">
        <v>130</v>
      </c>
      <c r="AJ33" s="681"/>
      <c r="AK33" s="681"/>
      <c r="AL33" s="681"/>
      <c r="AM33" s="666">
        <v>3272</v>
      </c>
      <c r="AN33" s="666"/>
      <c r="AO33" s="666"/>
      <c r="AP33" s="666"/>
      <c r="AQ33" s="681">
        <v>3169</v>
      </c>
      <c r="AR33" s="681"/>
      <c r="AS33" s="681"/>
      <c r="AT33" s="681"/>
      <c r="AU33" s="681">
        <v>103</v>
      </c>
      <c r="AV33" s="681"/>
      <c r="AW33" s="681"/>
      <c r="AX33" s="681"/>
      <c r="AY33" s="666">
        <v>2755</v>
      </c>
      <c r="AZ33" s="666"/>
      <c r="BA33" s="666"/>
      <c r="BB33" s="666"/>
      <c r="BC33" s="681">
        <v>2647</v>
      </c>
      <c r="BD33" s="681"/>
      <c r="BE33" s="681"/>
      <c r="BF33" s="681"/>
      <c r="BG33" s="681">
        <v>108</v>
      </c>
      <c r="BH33" s="681"/>
      <c r="BI33" s="681"/>
      <c r="BJ33" s="681"/>
    </row>
    <row r="34" spans="2:62" ht="12" customHeight="1">
      <c r="G34" s="380">
        <v>22</v>
      </c>
      <c r="H34" s="380"/>
      <c r="I34" s="380"/>
      <c r="N34" s="22"/>
      <c r="O34" s="666">
        <v>5751</v>
      </c>
      <c r="P34" s="666"/>
      <c r="Q34" s="666"/>
      <c r="R34" s="666"/>
      <c r="S34" s="667">
        <v>5569</v>
      </c>
      <c r="T34" s="667"/>
      <c r="U34" s="667"/>
      <c r="V34" s="667"/>
      <c r="W34" s="667">
        <v>182</v>
      </c>
      <c r="X34" s="667"/>
      <c r="Y34" s="667"/>
      <c r="Z34" s="667"/>
      <c r="AA34" s="666">
        <v>3675</v>
      </c>
      <c r="AB34" s="666"/>
      <c r="AC34" s="666"/>
      <c r="AD34" s="666"/>
      <c r="AE34" s="667">
        <v>3548</v>
      </c>
      <c r="AF34" s="667"/>
      <c r="AG34" s="667"/>
      <c r="AH34" s="667"/>
      <c r="AI34" s="667">
        <v>127</v>
      </c>
      <c r="AJ34" s="667"/>
      <c r="AK34" s="667"/>
      <c r="AL34" s="667"/>
      <c r="AM34" s="666">
        <v>3293</v>
      </c>
      <c r="AN34" s="666"/>
      <c r="AO34" s="666"/>
      <c r="AP34" s="666"/>
      <c r="AQ34" s="667">
        <v>3197</v>
      </c>
      <c r="AR34" s="667"/>
      <c r="AS34" s="667"/>
      <c r="AT34" s="667"/>
      <c r="AU34" s="667">
        <v>96</v>
      </c>
      <c r="AV34" s="667"/>
      <c r="AW34" s="667"/>
      <c r="AX34" s="667"/>
      <c r="AY34" s="666">
        <v>3050</v>
      </c>
      <c r="AZ34" s="666"/>
      <c r="BA34" s="666"/>
      <c r="BB34" s="666"/>
      <c r="BC34" s="667">
        <v>2931</v>
      </c>
      <c r="BD34" s="667"/>
      <c r="BE34" s="667"/>
      <c r="BF34" s="667"/>
      <c r="BG34" s="667">
        <v>119</v>
      </c>
      <c r="BH34" s="667"/>
      <c r="BI34" s="667"/>
      <c r="BJ34" s="667"/>
    </row>
    <row r="35" spans="2:62" ht="12" customHeight="1">
      <c r="G35" s="380">
        <v>23</v>
      </c>
      <c r="H35" s="380"/>
      <c r="I35" s="380"/>
      <c r="N35" s="22"/>
      <c r="O35" s="666">
        <v>6289</v>
      </c>
      <c r="P35" s="666"/>
      <c r="Q35" s="666"/>
      <c r="R35" s="666"/>
      <c r="S35" s="667">
        <v>6105</v>
      </c>
      <c r="T35" s="667"/>
      <c r="U35" s="667"/>
      <c r="V35" s="667"/>
      <c r="W35" s="667">
        <v>184</v>
      </c>
      <c r="X35" s="667"/>
      <c r="Y35" s="667"/>
      <c r="Z35" s="667"/>
      <c r="AA35" s="667">
        <v>3870</v>
      </c>
      <c r="AB35" s="667"/>
      <c r="AC35" s="667"/>
      <c r="AD35" s="667"/>
      <c r="AE35" s="667">
        <v>3741</v>
      </c>
      <c r="AF35" s="667"/>
      <c r="AG35" s="667"/>
      <c r="AH35" s="667"/>
      <c r="AI35" s="667">
        <v>129</v>
      </c>
      <c r="AJ35" s="667"/>
      <c r="AK35" s="667"/>
      <c r="AL35" s="667"/>
      <c r="AM35" s="667">
        <v>3312</v>
      </c>
      <c r="AN35" s="667"/>
      <c r="AO35" s="667"/>
      <c r="AP35" s="667"/>
      <c r="AQ35" s="667">
        <v>3233</v>
      </c>
      <c r="AR35" s="667"/>
      <c r="AS35" s="667"/>
      <c r="AT35" s="667"/>
      <c r="AU35" s="667">
        <v>79</v>
      </c>
      <c r="AV35" s="667"/>
      <c r="AW35" s="667"/>
      <c r="AX35" s="667"/>
      <c r="AY35" s="667">
        <v>3196</v>
      </c>
      <c r="AZ35" s="667"/>
      <c r="BA35" s="667"/>
      <c r="BB35" s="667"/>
      <c r="BC35" s="667">
        <v>3076</v>
      </c>
      <c r="BD35" s="667"/>
      <c r="BE35" s="667"/>
      <c r="BF35" s="667"/>
      <c r="BG35" s="667">
        <v>120</v>
      </c>
      <c r="BH35" s="667"/>
      <c r="BI35" s="667"/>
      <c r="BJ35" s="667"/>
    </row>
    <row r="36" spans="2:62" ht="12" customHeight="1">
      <c r="G36" s="392">
        <v>24</v>
      </c>
      <c r="H36" s="392"/>
      <c r="I36" s="392"/>
      <c r="N36" s="22"/>
      <c r="O36" s="672">
        <f>SUM(S36:Z36)</f>
        <v>6119</v>
      </c>
      <c r="P36" s="672"/>
      <c r="Q36" s="672"/>
      <c r="R36" s="672"/>
      <c r="S36" s="701">
        <v>5968</v>
      </c>
      <c r="T36" s="701"/>
      <c r="U36" s="701"/>
      <c r="V36" s="701"/>
      <c r="W36" s="701">
        <v>151</v>
      </c>
      <c r="X36" s="701"/>
      <c r="Y36" s="701"/>
      <c r="Z36" s="701"/>
      <c r="AA36" s="672">
        <f>SUM(AE36:AL36)</f>
        <v>3881</v>
      </c>
      <c r="AB36" s="672"/>
      <c r="AC36" s="672"/>
      <c r="AD36" s="672"/>
      <c r="AE36" s="701">
        <v>3761</v>
      </c>
      <c r="AF36" s="701"/>
      <c r="AG36" s="701"/>
      <c r="AH36" s="701"/>
      <c r="AI36" s="701">
        <v>120</v>
      </c>
      <c r="AJ36" s="701"/>
      <c r="AK36" s="701"/>
      <c r="AL36" s="701"/>
      <c r="AM36" s="672">
        <f>SUM(AQ36:AX36)</f>
        <v>3415</v>
      </c>
      <c r="AN36" s="672"/>
      <c r="AO36" s="672"/>
      <c r="AP36" s="672"/>
      <c r="AQ36" s="701">
        <v>3324</v>
      </c>
      <c r="AR36" s="701"/>
      <c r="AS36" s="701"/>
      <c r="AT36" s="701"/>
      <c r="AU36" s="701">
        <v>91</v>
      </c>
      <c r="AV36" s="701"/>
      <c r="AW36" s="701"/>
      <c r="AX36" s="701"/>
      <c r="AY36" s="672">
        <f>SUM(BC36:BJ36)</f>
        <v>3412</v>
      </c>
      <c r="AZ36" s="672"/>
      <c r="BA36" s="672"/>
      <c r="BB36" s="672"/>
      <c r="BC36" s="701">
        <v>3286</v>
      </c>
      <c r="BD36" s="701"/>
      <c r="BE36" s="701"/>
      <c r="BF36" s="701"/>
      <c r="BG36" s="701">
        <v>126</v>
      </c>
      <c r="BH36" s="701"/>
      <c r="BI36" s="701"/>
      <c r="BJ36" s="701"/>
    </row>
    <row r="37" spans="2:62" ht="8.1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2:62" ht="12" customHeight="1">
      <c r="B38" s="404" t="s">
        <v>9</v>
      </c>
      <c r="C38" s="404"/>
      <c r="D38" s="404"/>
      <c r="E38" s="54" t="s">
        <v>170</v>
      </c>
      <c r="F38" s="2" t="s">
        <v>233</v>
      </c>
    </row>
    <row r="40" spans="2:62" ht="12" customHeight="1">
      <c r="B40" s="380" t="s">
        <v>291</v>
      </c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0"/>
      <c r="AN40" s="380"/>
      <c r="AO40" s="380"/>
      <c r="AP40" s="380"/>
      <c r="AQ40" s="380"/>
      <c r="AR40" s="380"/>
      <c r="AS40" s="380"/>
      <c r="AT40" s="380"/>
      <c r="AU40" s="380"/>
      <c r="AV40" s="380"/>
      <c r="AW40" s="380"/>
      <c r="AX40" s="380"/>
      <c r="AY40" s="380"/>
      <c r="AZ40" s="380"/>
      <c r="BA40" s="380"/>
      <c r="BB40" s="380"/>
      <c r="BC40" s="380"/>
      <c r="BD40" s="380"/>
      <c r="BE40" s="380"/>
      <c r="BF40" s="380"/>
      <c r="BG40" s="380"/>
      <c r="BH40" s="380"/>
      <c r="BI40" s="380"/>
      <c r="BJ40" s="380"/>
    </row>
    <row r="41" spans="2:6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20"/>
    </row>
    <row r="42" spans="2:62" ht="12" customHeight="1">
      <c r="B42" s="411" t="s">
        <v>1</v>
      </c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413" t="s">
        <v>290</v>
      </c>
      <c r="P42" s="386"/>
      <c r="Q42" s="386"/>
      <c r="R42" s="386"/>
      <c r="S42" s="386"/>
      <c r="T42" s="386"/>
      <c r="U42" s="386"/>
      <c r="V42" s="386"/>
      <c r="W42" s="386"/>
      <c r="X42" s="386"/>
      <c r="Y42" s="386" t="s">
        <v>289</v>
      </c>
      <c r="Z42" s="752"/>
      <c r="AA42" s="752"/>
      <c r="AB42" s="752"/>
      <c r="AC42" s="752"/>
      <c r="AD42" s="752"/>
      <c r="AE42" s="752"/>
      <c r="AF42" s="752"/>
      <c r="AG42" s="752"/>
      <c r="AH42" s="752"/>
      <c r="AI42" s="752"/>
      <c r="AJ42" s="752"/>
      <c r="AK42" s="752"/>
      <c r="AL42" s="752"/>
      <c r="AM42" s="752"/>
      <c r="AN42" s="752"/>
      <c r="AO42" s="752"/>
      <c r="AP42" s="752"/>
      <c r="AQ42" s="752"/>
      <c r="AR42" s="752"/>
      <c r="AS42" s="752"/>
      <c r="AT42" s="752"/>
      <c r="AU42" s="752"/>
      <c r="AV42" s="752"/>
      <c r="AW42" s="752"/>
      <c r="AX42" s="752"/>
      <c r="AY42" s="752"/>
      <c r="AZ42" s="752"/>
      <c r="BA42" s="386" t="s">
        <v>288</v>
      </c>
      <c r="BB42" s="386"/>
      <c r="BC42" s="386"/>
      <c r="BD42" s="386"/>
      <c r="BE42" s="386"/>
      <c r="BF42" s="386"/>
      <c r="BG42" s="386"/>
      <c r="BH42" s="386"/>
      <c r="BI42" s="386"/>
      <c r="BJ42" s="387"/>
    </row>
    <row r="43" spans="2:62" ht="12" customHeight="1">
      <c r="B43" s="412"/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 t="s">
        <v>287</v>
      </c>
      <c r="Z43" s="753"/>
      <c r="AA43" s="753"/>
      <c r="AB43" s="753"/>
      <c r="AC43" s="753"/>
      <c r="AD43" s="753"/>
      <c r="AE43" s="753"/>
      <c r="AF43" s="753"/>
      <c r="AG43" s="753"/>
      <c r="AH43" s="385" t="s">
        <v>286</v>
      </c>
      <c r="AI43" s="753"/>
      <c r="AJ43" s="753"/>
      <c r="AK43" s="753"/>
      <c r="AL43" s="753"/>
      <c r="AM43" s="753"/>
      <c r="AN43" s="753"/>
      <c r="AO43" s="753"/>
      <c r="AP43" s="753"/>
      <c r="AQ43" s="385" t="s">
        <v>285</v>
      </c>
      <c r="AR43" s="753"/>
      <c r="AS43" s="753"/>
      <c r="AT43" s="753"/>
      <c r="AU43" s="753"/>
      <c r="AV43" s="753"/>
      <c r="AW43" s="753"/>
      <c r="AX43" s="753"/>
      <c r="AY43" s="753"/>
      <c r="AZ43" s="753"/>
      <c r="BA43" s="385"/>
      <c r="BB43" s="385"/>
      <c r="BC43" s="385"/>
      <c r="BD43" s="385"/>
      <c r="BE43" s="385"/>
      <c r="BF43" s="385"/>
      <c r="BG43" s="385"/>
      <c r="BH43" s="385"/>
      <c r="BI43" s="385"/>
      <c r="BJ43" s="388"/>
    </row>
    <row r="44" spans="2:62" ht="8.1" customHeight="1">
      <c r="N44" s="21"/>
    </row>
    <row r="45" spans="2:62" ht="12" customHeight="1">
      <c r="C45" s="389" t="s">
        <v>7</v>
      </c>
      <c r="D45" s="389"/>
      <c r="E45" s="389"/>
      <c r="F45" s="389"/>
      <c r="G45" s="380">
        <v>20</v>
      </c>
      <c r="H45" s="380"/>
      <c r="I45" s="380"/>
      <c r="J45" s="389" t="s">
        <v>1</v>
      </c>
      <c r="K45" s="389"/>
      <c r="L45" s="389"/>
      <c r="M45" s="389"/>
      <c r="N45" s="22"/>
      <c r="O45" s="667">
        <v>164903</v>
      </c>
      <c r="P45" s="667"/>
      <c r="Q45" s="667"/>
      <c r="R45" s="667"/>
      <c r="S45" s="667"/>
      <c r="T45" s="667"/>
      <c r="U45" s="667"/>
      <c r="V45" s="667"/>
      <c r="W45" s="667"/>
      <c r="X45" s="667"/>
      <c r="Y45" s="667">
        <v>19200</v>
      </c>
      <c r="Z45" s="667"/>
      <c r="AA45" s="667"/>
      <c r="AB45" s="667"/>
      <c r="AC45" s="667"/>
      <c r="AD45" s="667"/>
      <c r="AE45" s="667"/>
      <c r="AF45" s="667"/>
      <c r="AG45" s="667"/>
      <c r="AH45" s="667">
        <v>9434</v>
      </c>
      <c r="AI45" s="667"/>
      <c r="AJ45" s="667"/>
      <c r="AK45" s="667"/>
      <c r="AL45" s="667"/>
      <c r="AM45" s="667"/>
      <c r="AN45" s="667"/>
      <c r="AO45" s="667"/>
      <c r="AP45" s="667"/>
      <c r="AQ45" s="667">
        <v>6577</v>
      </c>
      <c r="AR45" s="667"/>
      <c r="AS45" s="667"/>
      <c r="AT45" s="667"/>
      <c r="AU45" s="667"/>
      <c r="AV45" s="667"/>
      <c r="AW45" s="667"/>
      <c r="AX45" s="667"/>
      <c r="AY45" s="667"/>
      <c r="AZ45" s="667"/>
      <c r="BA45" s="748">
        <v>9126</v>
      </c>
      <c r="BB45" s="748"/>
      <c r="BC45" s="748"/>
      <c r="BD45" s="748"/>
      <c r="BE45" s="748"/>
      <c r="BF45" s="748"/>
      <c r="BG45" s="748"/>
      <c r="BH45" s="748"/>
      <c r="BI45" s="748"/>
      <c r="BJ45" s="748"/>
    </row>
    <row r="46" spans="2:62" ht="12" customHeight="1">
      <c r="G46" s="380">
        <v>21</v>
      </c>
      <c r="H46" s="380"/>
      <c r="I46" s="380"/>
      <c r="N46" s="22"/>
      <c r="O46" s="667">
        <v>173489</v>
      </c>
      <c r="P46" s="667"/>
      <c r="Q46" s="667"/>
      <c r="R46" s="667"/>
      <c r="S46" s="667"/>
      <c r="T46" s="667"/>
      <c r="U46" s="667"/>
      <c r="V46" s="667"/>
      <c r="W46" s="667"/>
      <c r="X46" s="667"/>
      <c r="Y46" s="667">
        <v>19880</v>
      </c>
      <c r="Z46" s="667"/>
      <c r="AA46" s="667"/>
      <c r="AB46" s="667"/>
      <c r="AC46" s="667"/>
      <c r="AD46" s="667"/>
      <c r="AE46" s="667"/>
      <c r="AF46" s="667"/>
      <c r="AG46" s="667"/>
      <c r="AH46" s="667">
        <v>9989</v>
      </c>
      <c r="AI46" s="667"/>
      <c r="AJ46" s="667"/>
      <c r="AK46" s="667"/>
      <c r="AL46" s="667"/>
      <c r="AM46" s="667"/>
      <c r="AN46" s="667"/>
      <c r="AO46" s="667"/>
      <c r="AP46" s="667"/>
      <c r="AQ46" s="667">
        <v>6553</v>
      </c>
      <c r="AR46" s="667"/>
      <c r="AS46" s="667"/>
      <c r="AT46" s="667"/>
      <c r="AU46" s="667"/>
      <c r="AV46" s="667"/>
      <c r="AW46" s="667"/>
      <c r="AX46" s="667"/>
      <c r="AY46" s="667"/>
      <c r="AZ46" s="667"/>
      <c r="BA46" s="748">
        <v>10339</v>
      </c>
      <c r="BB46" s="748"/>
      <c r="BC46" s="748"/>
      <c r="BD46" s="748"/>
      <c r="BE46" s="748"/>
      <c r="BF46" s="748"/>
      <c r="BG46" s="748"/>
      <c r="BH46" s="748"/>
      <c r="BI46" s="748"/>
      <c r="BJ46" s="748"/>
    </row>
    <row r="47" spans="2:62" ht="12" customHeight="1">
      <c r="G47" s="380">
        <v>22</v>
      </c>
      <c r="H47" s="380"/>
      <c r="I47" s="380"/>
      <c r="N47" s="22"/>
      <c r="O47" s="667">
        <v>184676</v>
      </c>
      <c r="P47" s="667"/>
      <c r="Q47" s="667"/>
      <c r="R47" s="667"/>
      <c r="S47" s="667"/>
      <c r="T47" s="667"/>
      <c r="U47" s="667"/>
      <c r="V47" s="667"/>
      <c r="W47" s="667"/>
      <c r="X47" s="667"/>
      <c r="Y47" s="667">
        <v>20532</v>
      </c>
      <c r="Z47" s="667"/>
      <c r="AA47" s="667"/>
      <c r="AB47" s="667"/>
      <c r="AC47" s="667"/>
      <c r="AD47" s="667"/>
      <c r="AE47" s="667"/>
      <c r="AF47" s="667"/>
      <c r="AG47" s="667"/>
      <c r="AH47" s="667">
        <v>10231</v>
      </c>
      <c r="AI47" s="667"/>
      <c r="AJ47" s="667"/>
      <c r="AK47" s="667"/>
      <c r="AL47" s="667"/>
      <c r="AM47" s="667"/>
      <c r="AN47" s="667"/>
      <c r="AO47" s="667"/>
      <c r="AP47" s="667"/>
      <c r="AQ47" s="667">
        <v>5875</v>
      </c>
      <c r="AR47" s="667"/>
      <c r="AS47" s="667"/>
      <c r="AT47" s="667"/>
      <c r="AU47" s="667"/>
      <c r="AV47" s="667"/>
      <c r="AW47" s="667"/>
      <c r="AX47" s="667"/>
      <c r="AY47" s="667"/>
      <c r="AZ47" s="667"/>
      <c r="BA47" s="667">
        <v>11377</v>
      </c>
      <c r="BB47" s="667"/>
      <c r="BC47" s="667"/>
      <c r="BD47" s="667"/>
      <c r="BE47" s="667"/>
      <c r="BF47" s="667"/>
      <c r="BG47" s="667"/>
      <c r="BH47" s="667"/>
      <c r="BI47" s="667"/>
      <c r="BJ47" s="667"/>
    </row>
    <row r="48" spans="2:62" ht="12" customHeight="1">
      <c r="G48" s="380">
        <v>23</v>
      </c>
      <c r="H48" s="380"/>
      <c r="I48" s="380"/>
      <c r="N48" s="22"/>
      <c r="O48" s="667">
        <v>198359</v>
      </c>
      <c r="P48" s="667"/>
      <c r="Q48" s="667"/>
      <c r="R48" s="667"/>
      <c r="S48" s="667"/>
      <c r="T48" s="667"/>
      <c r="U48" s="667"/>
      <c r="V48" s="667"/>
      <c r="W48" s="667"/>
      <c r="X48" s="667"/>
      <c r="Y48" s="667">
        <v>21010</v>
      </c>
      <c r="Z48" s="667"/>
      <c r="AA48" s="667"/>
      <c r="AB48" s="667"/>
      <c r="AC48" s="667"/>
      <c r="AD48" s="667"/>
      <c r="AE48" s="667"/>
      <c r="AF48" s="667"/>
      <c r="AG48" s="667"/>
      <c r="AH48" s="667">
        <v>10601</v>
      </c>
      <c r="AI48" s="667"/>
      <c r="AJ48" s="667"/>
      <c r="AK48" s="667"/>
      <c r="AL48" s="667"/>
      <c r="AM48" s="667"/>
      <c r="AN48" s="667"/>
      <c r="AO48" s="667"/>
      <c r="AP48" s="667"/>
      <c r="AQ48" s="667">
        <v>5053</v>
      </c>
      <c r="AR48" s="667"/>
      <c r="AS48" s="667"/>
      <c r="AT48" s="667"/>
      <c r="AU48" s="667"/>
      <c r="AV48" s="667"/>
      <c r="AW48" s="667"/>
      <c r="AX48" s="667"/>
      <c r="AY48" s="667"/>
      <c r="AZ48" s="667"/>
      <c r="BA48" s="667">
        <v>13937</v>
      </c>
      <c r="BB48" s="667"/>
      <c r="BC48" s="667"/>
      <c r="BD48" s="667"/>
      <c r="BE48" s="667"/>
      <c r="BF48" s="667"/>
      <c r="BG48" s="667"/>
      <c r="BH48" s="667"/>
      <c r="BI48" s="667"/>
      <c r="BJ48" s="667"/>
    </row>
    <row r="49" spans="2:62" ht="12" customHeight="1">
      <c r="G49" s="392">
        <v>24</v>
      </c>
      <c r="H49" s="392"/>
      <c r="I49" s="392"/>
      <c r="N49" s="6"/>
      <c r="O49" s="754">
        <v>214214</v>
      </c>
      <c r="P49" s="664"/>
      <c r="Q49" s="664"/>
      <c r="R49" s="664"/>
      <c r="S49" s="664"/>
      <c r="T49" s="664"/>
      <c r="U49" s="664"/>
      <c r="V49" s="664"/>
      <c r="W49" s="664"/>
      <c r="X49" s="664"/>
      <c r="Y49" s="664">
        <v>21162</v>
      </c>
      <c r="Z49" s="664"/>
      <c r="AA49" s="664"/>
      <c r="AB49" s="664"/>
      <c r="AC49" s="664"/>
      <c r="AD49" s="664"/>
      <c r="AE49" s="664"/>
      <c r="AF49" s="664"/>
      <c r="AG49" s="664"/>
      <c r="AH49" s="664">
        <v>11510</v>
      </c>
      <c r="AI49" s="664"/>
      <c r="AJ49" s="664"/>
      <c r="AK49" s="664"/>
      <c r="AL49" s="664"/>
      <c r="AM49" s="664"/>
      <c r="AN49" s="664"/>
      <c r="AO49" s="664"/>
      <c r="AP49" s="664"/>
      <c r="AQ49" s="664">
        <v>4841</v>
      </c>
      <c r="AR49" s="664"/>
      <c r="AS49" s="664"/>
      <c r="AT49" s="664"/>
      <c r="AU49" s="664"/>
      <c r="AV49" s="664"/>
      <c r="AW49" s="664"/>
      <c r="AX49" s="664"/>
      <c r="AY49" s="664"/>
      <c r="AZ49" s="664"/>
      <c r="BA49" s="664">
        <v>15745</v>
      </c>
      <c r="BB49" s="664"/>
      <c r="BC49" s="664"/>
      <c r="BD49" s="664"/>
      <c r="BE49" s="664"/>
      <c r="BF49" s="664"/>
      <c r="BG49" s="664"/>
      <c r="BH49" s="664"/>
      <c r="BI49" s="664"/>
      <c r="BJ49" s="664"/>
    </row>
    <row r="50" spans="2:62" ht="8.1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2:62" ht="12" customHeight="1">
      <c r="C51" s="400" t="s">
        <v>8</v>
      </c>
      <c r="D51" s="400"/>
      <c r="E51" s="54" t="s">
        <v>170</v>
      </c>
      <c r="F51" s="53" t="s">
        <v>284</v>
      </c>
      <c r="G51" s="56"/>
      <c r="H51" s="2"/>
    </row>
    <row r="52" spans="2:62" ht="12" customHeight="1">
      <c r="B52" s="404" t="s">
        <v>9</v>
      </c>
      <c r="C52" s="404"/>
      <c r="D52" s="404"/>
      <c r="E52" s="54" t="s">
        <v>170</v>
      </c>
      <c r="F52" s="2" t="s">
        <v>233</v>
      </c>
    </row>
  </sheetData>
  <mergeCells count="254">
    <mergeCell ref="C51:D51"/>
    <mergeCell ref="B52:D52"/>
    <mergeCell ref="AH48:AP48"/>
    <mergeCell ref="AH49:AP49"/>
    <mergeCell ref="AQ47:AZ47"/>
    <mergeCell ref="AQ48:AZ48"/>
    <mergeCell ref="AQ49:AZ49"/>
    <mergeCell ref="BA45:BJ45"/>
    <mergeCell ref="BA46:BJ46"/>
    <mergeCell ref="BA47:BJ47"/>
    <mergeCell ref="BA48:BJ48"/>
    <mergeCell ref="BA49:BJ49"/>
    <mergeCell ref="G48:I48"/>
    <mergeCell ref="G49:I49"/>
    <mergeCell ref="O45:X45"/>
    <mergeCell ref="O46:X46"/>
    <mergeCell ref="O47:X47"/>
    <mergeCell ref="O48:X48"/>
    <mergeCell ref="O49:X49"/>
    <mergeCell ref="Y47:AG47"/>
    <mergeCell ref="Y48:AG48"/>
    <mergeCell ref="Y49:AG49"/>
    <mergeCell ref="C45:F45"/>
    <mergeCell ref="J45:M45"/>
    <mergeCell ref="G45:I45"/>
    <mergeCell ref="Y45:AG45"/>
    <mergeCell ref="AQ45:AZ45"/>
    <mergeCell ref="G46:I46"/>
    <mergeCell ref="Y46:AG46"/>
    <mergeCell ref="AQ46:AZ46"/>
    <mergeCell ref="G47:I47"/>
    <mergeCell ref="AH45:AP45"/>
    <mergeCell ref="AH46:AP46"/>
    <mergeCell ref="AH47:AP47"/>
    <mergeCell ref="B42:N43"/>
    <mergeCell ref="O42:X43"/>
    <mergeCell ref="BA42:BJ43"/>
    <mergeCell ref="AI36:AL36"/>
    <mergeCell ref="AM36:AP36"/>
    <mergeCell ref="AQ36:AT36"/>
    <mergeCell ref="Y42:AZ42"/>
    <mergeCell ref="Y43:AG43"/>
    <mergeCell ref="AH43:AP43"/>
    <mergeCell ref="AQ43:AZ43"/>
    <mergeCell ref="BG36:BJ36"/>
    <mergeCell ref="B38:D38"/>
    <mergeCell ref="B40:BJ40"/>
    <mergeCell ref="G36:I36"/>
    <mergeCell ref="O36:R36"/>
    <mergeCell ref="S36:V36"/>
    <mergeCell ref="AU36:AX36"/>
    <mergeCell ref="AY36:BB36"/>
    <mergeCell ref="BC36:BF36"/>
    <mergeCell ref="W36:Z36"/>
    <mergeCell ref="AA36:AD36"/>
    <mergeCell ref="AE36:AH36"/>
    <mergeCell ref="AU35:AX35"/>
    <mergeCell ref="AY35:BB35"/>
    <mergeCell ref="BC35:BF35"/>
    <mergeCell ref="AI35:AL35"/>
    <mergeCell ref="BG34:BJ34"/>
    <mergeCell ref="G35:I35"/>
    <mergeCell ref="O35:R35"/>
    <mergeCell ref="S35:V35"/>
    <mergeCell ref="W35:Z35"/>
    <mergeCell ref="AA35:AD35"/>
    <mergeCell ref="AE35:AH35"/>
    <mergeCell ref="AM35:AP35"/>
    <mergeCell ref="AQ35:AT35"/>
    <mergeCell ref="G34:I34"/>
    <mergeCell ref="O34:R34"/>
    <mergeCell ref="S34:V34"/>
    <mergeCell ref="W34:Z34"/>
    <mergeCell ref="AA34:AD34"/>
    <mergeCell ref="AE34:AH34"/>
    <mergeCell ref="AI34:AL34"/>
    <mergeCell ref="AM34:AP34"/>
    <mergeCell ref="BG35:BJ35"/>
    <mergeCell ref="AQ34:AT34"/>
    <mergeCell ref="AU34:AX34"/>
    <mergeCell ref="BG32:BJ32"/>
    <mergeCell ref="G33:I33"/>
    <mergeCell ref="O33:R33"/>
    <mergeCell ref="S33:V33"/>
    <mergeCell ref="W33:Z33"/>
    <mergeCell ref="AA33:AD33"/>
    <mergeCell ref="AE33:AH33"/>
    <mergeCell ref="AI33:AL33"/>
    <mergeCell ref="AM33:AP33"/>
    <mergeCell ref="AQ33:AT33"/>
    <mergeCell ref="AU33:AX33"/>
    <mergeCell ref="AY33:BB33"/>
    <mergeCell ref="BC33:BF33"/>
    <mergeCell ref="BG33:BJ33"/>
    <mergeCell ref="AY34:BB34"/>
    <mergeCell ref="BC34:BF34"/>
    <mergeCell ref="C32:F32"/>
    <mergeCell ref="G32:I32"/>
    <mergeCell ref="J32:M32"/>
    <mergeCell ref="O32:R32"/>
    <mergeCell ref="S32:V32"/>
    <mergeCell ref="W32:Z32"/>
    <mergeCell ref="AA32:AD32"/>
    <mergeCell ref="AE32:AH32"/>
    <mergeCell ref="AI32:AL32"/>
    <mergeCell ref="AM32:AP32"/>
    <mergeCell ref="AQ32:AT32"/>
    <mergeCell ref="AU32:AX32"/>
    <mergeCell ref="AY32:BB32"/>
    <mergeCell ref="BC32:BF32"/>
    <mergeCell ref="AQ27:AT27"/>
    <mergeCell ref="AU27:AX27"/>
    <mergeCell ref="AY27:BB27"/>
    <mergeCell ref="BC27:BF27"/>
    <mergeCell ref="BG27:BJ27"/>
    <mergeCell ref="B29:N30"/>
    <mergeCell ref="O29:Z29"/>
    <mergeCell ref="AA29:AL29"/>
    <mergeCell ref="AM29:AX29"/>
    <mergeCell ref="AY29:BJ29"/>
    <mergeCell ref="O30:R30"/>
    <mergeCell ref="S30:V30"/>
    <mergeCell ref="W30:Z30"/>
    <mergeCell ref="AA30:AD30"/>
    <mergeCell ref="AE30:AH30"/>
    <mergeCell ref="AI30:AL30"/>
    <mergeCell ref="AM30:AP30"/>
    <mergeCell ref="AQ30:AT30"/>
    <mergeCell ref="AU30:AX30"/>
    <mergeCell ref="AY30:BB30"/>
    <mergeCell ref="BC30:BF30"/>
    <mergeCell ref="BG30:BJ30"/>
    <mergeCell ref="AQ25:AT25"/>
    <mergeCell ref="AU25:AX25"/>
    <mergeCell ref="AY25:BB25"/>
    <mergeCell ref="BC25:BF25"/>
    <mergeCell ref="BG25:BJ25"/>
    <mergeCell ref="S26:V26"/>
    <mergeCell ref="W26:Z26"/>
    <mergeCell ref="AA26:AD26"/>
    <mergeCell ref="AE26:AH26"/>
    <mergeCell ref="AI26:AL26"/>
    <mergeCell ref="AM26:AP26"/>
    <mergeCell ref="AQ26:AT26"/>
    <mergeCell ref="AU26:AX26"/>
    <mergeCell ref="AY26:BB26"/>
    <mergeCell ref="BC26:BF26"/>
    <mergeCell ref="BG26:BJ26"/>
    <mergeCell ref="AQ23:AT23"/>
    <mergeCell ref="AU23:AX23"/>
    <mergeCell ref="AY23:BB23"/>
    <mergeCell ref="BC23:BF23"/>
    <mergeCell ref="BG23:BJ23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AY24:BB24"/>
    <mergeCell ref="BC24:BF24"/>
    <mergeCell ref="BG24:BJ24"/>
    <mergeCell ref="G25:I25"/>
    <mergeCell ref="G26:I26"/>
    <mergeCell ref="G27:I27"/>
    <mergeCell ref="O23:R23"/>
    <mergeCell ref="O24:R24"/>
    <mergeCell ref="O25:R25"/>
    <mergeCell ref="O26:R26"/>
    <mergeCell ref="O27:R27"/>
    <mergeCell ref="AM23:AP23"/>
    <mergeCell ref="S25:V25"/>
    <mergeCell ref="W25:Z25"/>
    <mergeCell ref="AA25:AD25"/>
    <mergeCell ref="AE25:AH25"/>
    <mergeCell ref="AI25:AL25"/>
    <mergeCell ref="AM25:AP25"/>
    <mergeCell ref="S27:V27"/>
    <mergeCell ref="W27:Z27"/>
    <mergeCell ref="AA27:AD27"/>
    <mergeCell ref="AE27:AH27"/>
    <mergeCell ref="AI27:AL27"/>
    <mergeCell ref="AM27:AP27"/>
    <mergeCell ref="C23:F23"/>
    <mergeCell ref="J23:M23"/>
    <mergeCell ref="G23:I23"/>
    <mergeCell ref="G24:I24"/>
    <mergeCell ref="S23:V23"/>
    <mergeCell ref="W23:Z23"/>
    <mergeCell ref="AA23:AD23"/>
    <mergeCell ref="AE23:AH23"/>
    <mergeCell ref="AI23:AL23"/>
    <mergeCell ref="B20:N21"/>
    <mergeCell ref="O21:R21"/>
    <mergeCell ref="S21:V21"/>
    <mergeCell ref="W21:Z21"/>
    <mergeCell ref="O20:Z20"/>
    <mergeCell ref="AA20:AL20"/>
    <mergeCell ref="AM20:AX20"/>
    <mergeCell ref="AY20:BJ20"/>
    <mergeCell ref="AA21:AD21"/>
    <mergeCell ref="AE21:AH21"/>
    <mergeCell ref="AI21:AL21"/>
    <mergeCell ref="AM21:AP21"/>
    <mergeCell ref="AQ21:AT21"/>
    <mergeCell ref="AU21:AX21"/>
    <mergeCell ref="AY21:BB21"/>
    <mergeCell ref="BC21:BF21"/>
    <mergeCell ref="BG21:BJ21"/>
    <mergeCell ref="O10:X10"/>
    <mergeCell ref="Y10:AH10"/>
    <mergeCell ref="AI10:AR10"/>
    <mergeCell ref="B16:D16"/>
    <mergeCell ref="O13:X13"/>
    <mergeCell ref="Y13:AH13"/>
    <mergeCell ref="AI13:AR13"/>
    <mergeCell ref="C10:F10"/>
    <mergeCell ref="J10:M10"/>
    <mergeCell ref="G10:I10"/>
    <mergeCell ref="AS12:BA12"/>
    <mergeCell ref="BB12:BJ12"/>
    <mergeCell ref="AS13:BA13"/>
    <mergeCell ref="BB13:BJ13"/>
    <mergeCell ref="O14:X14"/>
    <mergeCell ref="Y14:AH14"/>
    <mergeCell ref="AI14:AR14"/>
    <mergeCell ref="AS14:BA14"/>
    <mergeCell ref="BB14:BJ14"/>
    <mergeCell ref="Q5:AU5"/>
    <mergeCell ref="AW1:BK2"/>
    <mergeCell ref="Q18:AU18"/>
    <mergeCell ref="BB18:BJ19"/>
    <mergeCell ref="B7:N8"/>
    <mergeCell ref="O7:X8"/>
    <mergeCell ref="Y7:AH8"/>
    <mergeCell ref="AI7:AR8"/>
    <mergeCell ref="AS7:BA8"/>
    <mergeCell ref="BB7:BJ8"/>
    <mergeCell ref="AS10:BA10"/>
    <mergeCell ref="BB10:BJ10"/>
    <mergeCell ref="G11:I11"/>
    <mergeCell ref="G12:I12"/>
    <mergeCell ref="G13:I13"/>
    <mergeCell ref="G14:I14"/>
    <mergeCell ref="O11:X11"/>
    <mergeCell ref="Y11:AH11"/>
    <mergeCell ref="AI11:AR11"/>
    <mergeCell ref="AS11:BA11"/>
    <mergeCell ref="BB11:BJ11"/>
    <mergeCell ref="O12:X12"/>
    <mergeCell ref="Y12:AH12"/>
    <mergeCell ref="AI12:AR12"/>
  </mergeCells>
  <phoneticPr fontId="15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K117"/>
  <sheetViews>
    <sheetView view="pageBreakPreview" zoomScaleNormal="100" zoomScaleSheetLayoutView="100" workbookViewId="0">
      <selection sqref="A1:S2"/>
    </sheetView>
  </sheetViews>
  <sheetFormatPr defaultRowHeight="12" customHeight="1"/>
  <cols>
    <col min="1" max="41" width="1.625" style="61" customWidth="1"/>
    <col min="42" max="42" width="1.75" style="61" customWidth="1"/>
    <col min="43" max="63" width="1.625" style="61" customWidth="1"/>
    <col min="64" max="16384" width="9" style="61"/>
  </cols>
  <sheetData>
    <row r="1" spans="1:62" ht="11.1" customHeight="1">
      <c r="A1" s="648">
        <f>'197'!AW1+1</f>
        <v>198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</row>
    <row r="2" spans="1:62" ht="11.1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62" ht="11.1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62" ht="11.1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62" ht="12.95" customHeight="1">
      <c r="A5" s="122"/>
      <c r="B5" s="568" t="s">
        <v>283</v>
      </c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761"/>
      <c r="S5" s="761"/>
      <c r="T5" s="761"/>
      <c r="U5" s="761"/>
      <c r="V5" s="761"/>
      <c r="W5" s="761"/>
      <c r="X5" s="761"/>
      <c r="Y5" s="761"/>
      <c r="Z5" s="761"/>
      <c r="AA5" s="761"/>
      <c r="AB5" s="761"/>
      <c r="AC5" s="761"/>
      <c r="AD5" s="761"/>
      <c r="AE5" s="761"/>
      <c r="AF5" s="761"/>
      <c r="AG5" s="761"/>
      <c r="AH5" s="761"/>
      <c r="AI5" s="761"/>
      <c r="AJ5" s="761"/>
      <c r="AK5" s="761"/>
      <c r="AL5" s="761"/>
      <c r="AM5" s="761"/>
      <c r="AN5" s="761"/>
      <c r="AO5" s="761"/>
      <c r="AP5" s="761"/>
      <c r="AQ5" s="761"/>
      <c r="AR5" s="761"/>
      <c r="AS5" s="761"/>
      <c r="AT5" s="761"/>
      <c r="AU5" s="761"/>
      <c r="AV5" s="761"/>
      <c r="AW5" s="761"/>
      <c r="AX5" s="761"/>
      <c r="AY5" s="761"/>
      <c r="AZ5" s="761"/>
      <c r="BA5" s="761"/>
      <c r="BB5" s="761"/>
      <c r="BC5" s="761"/>
      <c r="BD5" s="761"/>
      <c r="BE5" s="761"/>
      <c r="BF5" s="761"/>
      <c r="BG5" s="761"/>
      <c r="BH5" s="761"/>
      <c r="BI5" s="761"/>
      <c r="BJ5" s="761"/>
    </row>
    <row r="6" spans="1:62" ht="12" customHeight="1">
      <c r="A6" s="122"/>
    </row>
    <row r="7" spans="1:62" customFormat="1" ht="12" customHeight="1">
      <c r="B7" s="411" t="s">
        <v>1</v>
      </c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 t="s">
        <v>271</v>
      </c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7"/>
    </row>
    <row r="8" spans="1:62" customFormat="1" ht="12" customHeight="1">
      <c r="B8" s="412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470" t="s">
        <v>238</v>
      </c>
      <c r="P8" s="470"/>
      <c r="Q8" s="470"/>
      <c r="R8" s="470"/>
      <c r="S8" s="470"/>
      <c r="T8" s="470"/>
      <c r="U8" s="470"/>
      <c r="V8" s="470"/>
      <c r="W8" s="385" t="s">
        <v>282</v>
      </c>
      <c r="X8" s="385"/>
      <c r="Y8" s="385"/>
      <c r="Z8" s="385"/>
      <c r="AA8" s="385"/>
      <c r="AB8" s="385"/>
      <c r="AC8" s="385"/>
      <c r="AD8" s="385"/>
      <c r="AE8" s="385" t="s">
        <v>281</v>
      </c>
      <c r="AF8" s="385"/>
      <c r="AG8" s="385"/>
      <c r="AH8" s="385"/>
      <c r="AI8" s="385"/>
      <c r="AJ8" s="385"/>
      <c r="AK8" s="385"/>
      <c r="AL8" s="385"/>
      <c r="AM8" s="385" t="s">
        <v>280</v>
      </c>
      <c r="AN8" s="385"/>
      <c r="AO8" s="385"/>
      <c r="AP8" s="385"/>
      <c r="AQ8" s="385"/>
      <c r="AR8" s="385"/>
      <c r="AS8" s="385"/>
      <c r="AT8" s="385"/>
      <c r="AU8" s="757" t="s">
        <v>279</v>
      </c>
      <c r="AV8" s="470"/>
      <c r="AW8" s="470"/>
      <c r="AX8" s="470"/>
      <c r="AY8" s="470"/>
      <c r="AZ8" s="470"/>
      <c r="BA8" s="470"/>
      <c r="BB8" s="470"/>
      <c r="BC8" s="385" t="s">
        <v>278</v>
      </c>
      <c r="BD8" s="385"/>
      <c r="BE8" s="385"/>
      <c r="BF8" s="385"/>
      <c r="BG8" s="385"/>
      <c r="BH8" s="385"/>
      <c r="BI8" s="385"/>
      <c r="BJ8" s="388"/>
    </row>
    <row r="9" spans="1:62" customFormat="1" ht="12" customHeight="1">
      <c r="B9" s="412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470"/>
      <c r="P9" s="470"/>
      <c r="Q9" s="470"/>
      <c r="R9" s="470"/>
      <c r="S9" s="470"/>
      <c r="T9" s="470"/>
      <c r="U9" s="470"/>
      <c r="V9" s="470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5"/>
      <c r="AS9" s="385"/>
      <c r="AT9" s="385"/>
      <c r="AU9" s="470"/>
      <c r="AV9" s="470"/>
      <c r="AW9" s="470"/>
      <c r="AX9" s="470"/>
      <c r="AY9" s="470"/>
      <c r="AZ9" s="470"/>
      <c r="BA9" s="470"/>
      <c r="BB9" s="470"/>
      <c r="BC9" s="385"/>
      <c r="BD9" s="385"/>
      <c r="BE9" s="385"/>
      <c r="BF9" s="385"/>
      <c r="BG9" s="385"/>
      <c r="BH9" s="385"/>
      <c r="BI9" s="385"/>
      <c r="BJ9" s="388"/>
    </row>
    <row r="10" spans="1:62" customFormat="1" ht="12" customHeight="1"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60"/>
      <c r="O10" s="258"/>
      <c r="P10" s="258"/>
      <c r="Q10" s="258"/>
      <c r="R10" s="258"/>
      <c r="S10" s="258"/>
      <c r="T10" s="258"/>
      <c r="U10" s="429" t="s">
        <v>157</v>
      </c>
      <c r="V10" s="429"/>
      <c r="W10" s="259"/>
      <c r="X10" s="259"/>
      <c r="Y10" s="259"/>
      <c r="Z10" s="259"/>
      <c r="AA10" s="259"/>
      <c r="AB10" s="259"/>
      <c r="AC10" s="429" t="s">
        <v>157</v>
      </c>
      <c r="AD10" s="429"/>
      <c r="AE10" s="259"/>
      <c r="AF10" s="259"/>
      <c r="AG10" s="259"/>
      <c r="AH10" s="259"/>
      <c r="AI10" s="259"/>
      <c r="AJ10" s="259"/>
      <c r="AK10" s="429" t="s">
        <v>157</v>
      </c>
      <c r="AL10" s="429"/>
      <c r="AM10" s="259"/>
      <c r="AN10" s="259"/>
      <c r="AO10" s="259"/>
      <c r="AP10" s="259"/>
      <c r="AQ10" s="259"/>
      <c r="AR10" s="259"/>
      <c r="AS10" s="429" t="s">
        <v>157</v>
      </c>
      <c r="AT10" s="429"/>
      <c r="AU10" s="258"/>
      <c r="AV10" s="258"/>
      <c r="AW10" s="258"/>
      <c r="AX10" s="258"/>
      <c r="AY10" s="258"/>
      <c r="AZ10" s="258"/>
      <c r="BA10" s="429" t="s">
        <v>157</v>
      </c>
      <c r="BB10" s="429"/>
      <c r="BC10" s="259"/>
      <c r="BD10" s="259"/>
      <c r="BE10" s="259"/>
      <c r="BF10" s="259"/>
      <c r="BG10" s="259"/>
      <c r="BH10" s="259"/>
      <c r="BI10" s="429" t="s">
        <v>157</v>
      </c>
      <c r="BJ10" s="429"/>
    </row>
    <row r="11" spans="1:62" customFormat="1" ht="8.1" customHeight="1">
      <c r="N11" s="22"/>
    </row>
    <row r="12" spans="1:62" customFormat="1" ht="12" customHeight="1">
      <c r="C12" s="389" t="s">
        <v>7</v>
      </c>
      <c r="D12" s="389"/>
      <c r="E12" s="389"/>
      <c r="F12" s="389"/>
      <c r="G12" s="380">
        <v>20</v>
      </c>
      <c r="H12" s="380"/>
      <c r="I12" s="380"/>
      <c r="J12" s="389" t="s">
        <v>1</v>
      </c>
      <c r="K12" s="389"/>
      <c r="L12" s="389"/>
      <c r="M12" s="389"/>
      <c r="N12" s="22"/>
      <c r="O12" s="666">
        <v>16967855</v>
      </c>
      <c r="P12" s="666"/>
      <c r="Q12" s="666"/>
      <c r="R12" s="666"/>
      <c r="S12" s="666"/>
      <c r="T12" s="666"/>
      <c r="U12" s="666"/>
      <c r="V12" s="666"/>
      <c r="W12" s="666">
        <v>4953997</v>
      </c>
      <c r="X12" s="666"/>
      <c r="Y12" s="666"/>
      <c r="Z12" s="666"/>
      <c r="AA12" s="666"/>
      <c r="AB12" s="666"/>
      <c r="AC12" s="666"/>
      <c r="AD12" s="666"/>
      <c r="AE12" s="666">
        <v>332753</v>
      </c>
      <c r="AF12" s="666"/>
      <c r="AG12" s="666"/>
      <c r="AH12" s="666"/>
      <c r="AI12" s="666"/>
      <c r="AJ12" s="666"/>
      <c r="AK12" s="666"/>
      <c r="AL12" s="666"/>
      <c r="AM12" s="666">
        <v>656402</v>
      </c>
      <c r="AN12" s="666"/>
      <c r="AO12" s="666"/>
      <c r="AP12" s="666"/>
      <c r="AQ12" s="666"/>
      <c r="AR12" s="666"/>
      <c r="AS12" s="666"/>
      <c r="AT12" s="666"/>
      <c r="AU12" s="666">
        <v>33544</v>
      </c>
      <c r="AV12" s="666"/>
      <c r="AW12" s="666"/>
      <c r="AX12" s="666"/>
      <c r="AY12" s="666"/>
      <c r="AZ12" s="666"/>
      <c r="BA12" s="666"/>
      <c r="BB12" s="666"/>
      <c r="BC12" s="666">
        <v>3675670</v>
      </c>
      <c r="BD12" s="666"/>
      <c r="BE12" s="666"/>
      <c r="BF12" s="666"/>
      <c r="BG12" s="666"/>
      <c r="BH12" s="666"/>
      <c r="BI12" s="666"/>
      <c r="BJ12" s="666"/>
    </row>
    <row r="13" spans="1:62" customFormat="1" ht="12" customHeight="1">
      <c r="G13" s="380">
        <v>21</v>
      </c>
      <c r="H13" s="380"/>
      <c r="I13" s="380"/>
      <c r="N13" s="22"/>
      <c r="O13" s="667">
        <v>18736103</v>
      </c>
      <c r="P13" s="667"/>
      <c r="Q13" s="667"/>
      <c r="R13" s="667"/>
      <c r="S13" s="667"/>
      <c r="T13" s="667"/>
      <c r="U13" s="667"/>
      <c r="V13" s="667"/>
      <c r="W13" s="667">
        <v>5141989</v>
      </c>
      <c r="X13" s="667"/>
      <c r="Y13" s="667"/>
      <c r="Z13" s="667"/>
      <c r="AA13" s="667"/>
      <c r="AB13" s="667"/>
      <c r="AC13" s="667"/>
      <c r="AD13" s="667"/>
      <c r="AE13" s="667">
        <v>342842</v>
      </c>
      <c r="AF13" s="667"/>
      <c r="AG13" s="667"/>
      <c r="AH13" s="667"/>
      <c r="AI13" s="667"/>
      <c r="AJ13" s="667"/>
      <c r="AK13" s="667"/>
      <c r="AL13" s="667"/>
      <c r="AM13" s="667">
        <v>691828</v>
      </c>
      <c r="AN13" s="667"/>
      <c r="AO13" s="667"/>
      <c r="AP13" s="667"/>
      <c r="AQ13" s="667"/>
      <c r="AR13" s="667"/>
      <c r="AS13" s="667"/>
      <c r="AT13" s="667"/>
      <c r="AU13" s="667">
        <v>41598</v>
      </c>
      <c r="AV13" s="667"/>
      <c r="AW13" s="667"/>
      <c r="AX13" s="667"/>
      <c r="AY13" s="667"/>
      <c r="AZ13" s="667"/>
      <c r="BA13" s="667"/>
      <c r="BB13" s="667"/>
      <c r="BC13" s="667">
        <v>4184364</v>
      </c>
      <c r="BD13" s="667"/>
      <c r="BE13" s="667"/>
      <c r="BF13" s="667"/>
      <c r="BG13" s="667"/>
      <c r="BH13" s="667"/>
      <c r="BI13" s="667"/>
      <c r="BJ13" s="667"/>
    </row>
    <row r="14" spans="1:62" customFormat="1" ht="12" customHeight="1">
      <c r="G14" s="380">
        <v>22</v>
      </c>
      <c r="H14" s="380"/>
      <c r="I14" s="380"/>
      <c r="N14" s="22"/>
      <c r="O14" s="667">
        <v>20277732</v>
      </c>
      <c r="P14" s="667"/>
      <c r="Q14" s="667"/>
      <c r="R14" s="667"/>
      <c r="S14" s="667"/>
      <c r="T14" s="667"/>
      <c r="U14" s="667"/>
      <c r="V14" s="667"/>
      <c r="W14" s="667">
        <v>5287780</v>
      </c>
      <c r="X14" s="667"/>
      <c r="Y14" s="667"/>
      <c r="Z14" s="667"/>
      <c r="AA14" s="667"/>
      <c r="AB14" s="667"/>
      <c r="AC14" s="667"/>
      <c r="AD14" s="667"/>
      <c r="AE14" s="667">
        <v>365855</v>
      </c>
      <c r="AF14" s="667"/>
      <c r="AG14" s="667"/>
      <c r="AH14" s="667"/>
      <c r="AI14" s="667"/>
      <c r="AJ14" s="667"/>
      <c r="AK14" s="667"/>
      <c r="AL14" s="667"/>
      <c r="AM14" s="667">
        <v>701947</v>
      </c>
      <c r="AN14" s="667"/>
      <c r="AO14" s="667"/>
      <c r="AP14" s="667"/>
      <c r="AQ14" s="667"/>
      <c r="AR14" s="667"/>
      <c r="AS14" s="667"/>
      <c r="AT14" s="667"/>
      <c r="AU14" s="667">
        <v>59991</v>
      </c>
      <c r="AV14" s="667"/>
      <c r="AW14" s="667"/>
      <c r="AX14" s="667"/>
      <c r="AY14" s="667"/>
      <c r="AZ14" s="667"/>
      <c r="BA14" s="667"/>
      <c r="BB14" s="667"/>
      <c r="BC14" s="667">
        <v>4706411</v>
      </c>
      <c r="BD14" s="667"/>
      <c r="BE14" s="667"/>
      <c r="BF14" s="667"/>
      <c r="BG14" s="667"/>
      <c r="BH14" s="667"/>
      <c r="BI14" s="667"/>
      <c r="BJ14" s="667"/>
    </row>
    <row r="15" spans="1:62" customFormat="1" ht="12" customHeight="1">
      <c r="G15" s="380">
        <v>23</v>
      </c>
      <c r="H15" s="380"/>
      <c r="I15" s="380"/>
      <c r="N15" s="22"/>
      <c r="O15" s="667">
        <v>21981092</v>
      </c>
      <c r="P15" s="667"/>
      <c r="Q15" s="667"/>
      <c r="R15" s="667"/>
      <c r="S15" s="667"/>
      <c r="T15" s="667"/>
      <c r="U15" s="667"/>
      <c r="V15" s="667"/>
      <c r="W15" s="667">
        <v>5466403</v>
      </c>
      <c r="X15" s="667"/>
      <c r="Y15" s="667"/>
      <c r="Z15" s="667"/>
      <c r="AA15" s="667"/>
      <c r="AB15" s="667"/>
      <c r="AC15" s="667"/>
      <c r="AD15" s="667"/>
      <c r="AE15" s="667">
        <v>384932</v>
      </c>
      <c r="AF15" s="667"/>
      <c r="AG15" s="667"/>
      <c r="AH15" s="667"/>
      <c r="AI15" s="667"/>
      <c r="AJ15" s="667"/>
      <c r="AK15" s="667"/>
      <c r="AL15" s="667"/>
      <c r="AM15" s="667">
        <v>771274</v>
      </c>
      <c r="AN15" s="667"/>
      <c r="AO15" s="667"/>
      <c r="AP15" s="667"/>
      <c r="AQ15" s="667"/>
      <c r="AR15" s="667"/>
      <c r="AS15" s="667"/>
      <c r="AT15" s="667"/>
      <c r="AU15" s="667">
        <v>68014</v>
      </c>
      <c r="AV15" s="667"/>
      <c r="AW15" s="667"/>
      <c r="AX15" s="667"/>
      <c r="AY15" s="667"/>
      <c r="AZ15" s="667"/>
      <c r="BA15" s="667"/>
      <c r="BB15" s="667"/>
      <c r="BC15" s="667">
        <v>5362768</v>
      </c>
      <c r="BD15" s="667"/>
      <c r="BE15" s="667"/>
      <c r="BF15" s="667"/>
      <c r="BG15" s="667"/>
      <c r="BH15" s="667"/>
      <c r="BI15" s="667"/>
      <c r="BJ15" s="667"/>
    </row>
    <row r="16" spans="1:62" customFormat="1" ht="12" customHeight="1">
      <c r="G16" s="392">
        <v>24</v>
      </c>
      <c r="H16" s="392"/>
      <c r="I16" s="392"/>
      <c r="N16" s="22"/>
      <c r="O16" s="664">
        <f>SUM(W16:BJ16,O27:BJ27,O38:AD38)</f>
        <v>24122632</v>
      </c>
      <c r="P16" s="664"/>
      <c r="Q16" s="664"/>
      <c r="R16" s="664"/>
      <c r="S16" s="664"/>
      <c r="T16" s="664"/>
      <c r="U16" s="664"/>
      <c r="V16" s="664"/>
      <c r="W16" s="664">
        <v>5753166</v>
      </c>
      <c r="X16" s="664"/>
      <c r="Y16" s="664"/>
      <c r="Z16" s="664"/>
      <c r="AA16" s="664"/>
      <c r="AB16" s="664"/>
      <c r="AC16" s="664"/>
      <c r="AD16" s="664"/>
      <c r="AE16" s="664">
        <v>407950</v>
      </c>
      <c r="AF16" s="664"/>
      <c r="AG16" s="664"/>
      <c r="AH16" s="664"/>
      <c r="AI16" s="664"/>
      <c r="AJ16" s="664"/>
      <c r="AK16" s="664"/>
      <c r="AL16" s="664"/>
      <c r="AM16" s="664">
        <v>880742</v>
      </c>
      <c r="AN16" s="664"/>
      <c r="AO16" s="664"/>
      <c r="AP16" s="664"/>
      <c r="AQ16" s="664"/>
      <c r="AR16" s="664"/>
      <c r="AS16" s="664"/>
      <c r="AT16" s="664"/>
      <c r="AU16" s="664">
        <v>85533</v>
      </c>
      <c r="AV16" s="664"/>
      <c r="AW16" s="664"/>
      <c r="AX16" s="664"/>
      <c r="AY16" s="664"/>
      <c r="AZ16" s="664"/>
      <c r="BA16" s="664"/>
      <c r="BB16" s="664"/>
      <c r="BC16" s="664">
        <v>6157781</v>
      </c>
      <c r="BD16" s="664"/>
      <c r="BE16" s="664"/>
      <c r="BF16" s="664"/>
      <c r="BG16" s="664"/>
      <c r="BH16" s="664"/>
      <c r="BI16" s="664"/>
      <c r="BJ16" s="664"/>
    </row>
    <row r="17" spans="2:62" customFormat="1" ht="8.1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2:62" customFormat="1" ht="12" customHeight="1">
      <c r="B18" s="411" t="s">
        <v>1</v>
      </c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 t="s">
        <v>271</v>
      </c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/>
      <c r="AV18" s="386"/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386"/>
      <c r="BI18" s="386"/>
      <c r="BJ18" s="387"/>
    </row>
    <row r="19" spans="2:62" customFormat="1" ht="12" customHeight="1">
      <c r="B19" s="412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757" t="s">
        <v>277</v>
      </c>
      <c r="P19" s="470"/>
      <c r="Q19" s="470"/>
      <c r="R19" s="470"/>
      <c r="S19" s="470"/>
      <c r="T19" s="470"/>
      <c r="U19" s="470"/>
      <c r="V19" s="470"/>
      <c r="W19" s="385" t="s">
        <v>276</v>
      </c>
      <c r="X19" s="385"/>
      <c r="Y19" s="385"/>
      <c r="Z19" s="385"/>
      <c r="AA19" s="385"/>
      <c r="AB19" s="385"/>
      <c r="AC19" s="385"/>
      <c r="AD19" s="385"/>
      <c r="AE19" s="756" t="s">
        <v>275</v>
      </c>
      <c r="AF19" s="385"/>
      <c r="AG19" s="385"/>
      <c r="AH19" s="385"/>
      <c r="AI19" s="385"/>
      <c r="AJ19" s="385"/>
      <c r="AK19" s="385"/>
      <c r="AL19" s="385"/>
      <c r="AM19" s="756" t="s">
        <v>274</v>
      </c>
      <c r="AN19" s="385"/>
      <c r="AO19" s="385"/>
      <c r="AP19" s="385"/>
      <c r="AQ19" s="385"/>
      <c r="AR19" s="385"/>
      <c r="AS19" s="385"/>
      <c r="AT19" s="385"/>
      <c r="AU19" s="757" t="s">
        <v>273</v>
      </c>
      <c r="AV19" s="470"/>
      <c r="AW19" s="470"/>
      <c r="AX19" s="470"/>
      <c r="AY19" s="470"/>
      <c r="AZ19" s="470"/>
      <c r="BA19" s="470"/>
      <c r="BB19" s="470"/>
      <c r="BC19" s="756" t="s">
        <v>272</v>
      </c>
      <c r="BD19" s="385"/>
      <c r="BE19" s="385"/>
      <c r="BF19" s="385"/>
      <c r="BG19" s="385"/>
      <c r="BH19" s="385"/>
      <c r="BI19" s="385"/>
      <c r="BJ19" s="388"/>
    </row>
    <row r="20" spans="2:62" customFormat="1" ht="12" customHeight="1">
      <c r="B20" s="412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470"/>
      <c r="P20" s="470"/>
      <c r="Q20" s="470"/>
      <c r="R20" s="470"/>
      <c r="S20" s="470"/>
      <c r="T20" s="470"/>
      <c r="U20" s="470"/>
      <c r="V20" s="470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5"/>
      <c r="AU20" s="470"/>
      <c r="AV20" s="470"/>
      <c r="AW20" s="470"/>
      <c r="AX20" s="470"/>
      <c r="AY20" s="470"/>
      <c r="AZ20" s="470"/>
      <c r="BA20" s="470"/>
      <c r="BB20" s="470"/>
      <c r="BC20" s="385"/>
      <c r="BD20" s="385"/>
      <c r="BE20" s="385"/>
      <c r="BF20" s="385"/>
      <c r="BG20" s="385"/>
      <c r="BH20" s="385"/>
      <c r="BI20" s="385"/>
      <c r="BJ20" s="388"/>
    </row>
    <row r="21" spans="2:62" customFormat="1" ht="12" customHeight="1"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60"/>
      <c r="O21" s="258"/>
      <c r="P21" s="258"/>
      <c r="Q21" s="258"/>
      <c r="R21" s="258"/>
      <c r="S21" s="258"/>
      <c r="T21" s="258"/>
      <c r="U21" s="429" t="s">
        <v>157</v>
      </c>
      <c r="V21" s="429"/>
      <c r="W21" s="259"/>
      <c r="X21" s="259"/>
      <c r="Y21" s="259"/>
      <c r="Z21" s="259"/>
      <c r="AA21" s="259"/>
      <c r="AB21" s="259"/>
      <c r="AC21" s="429" t="s">
        <v>157</v>
      </c>
      <c r="AD21" s="429"/>
      <c r="AE21" s="259"/>
      <c r="AF21" s="259"/>
      <c r="AG21" s="259"/>
      <c r="AH21" s="259"/>
      <c r="AI21" s="259"/>
      <c r="AJ21" s="259"/>
      <c r="AK21" s="429" t="s">
        <v>157</v>
      </c>
      <c r="AL21" s="429"/>
      <c r="AM21" s="259"/>
      <c r="AN21" s="259"/>
      <c r="AO21" s="259"/>
      <c r="AP21" s="259"/>
      <c r="AQ21" s="259"/>
      <c r="AR21" s="259"/>
      <c r="AS21" s="429" t="s">
        <v>157</v>
      </c>
      <c r="AT21" s="429"/>
      <c r="AU21" s="258"/>
      <c r="AV21" s="258"/>
      <c r="AW21" s="258"/>
      <c r="AX21" s="258"/>
      <c r="AY21" s="258"/>
      <c r="AZ21" s="258"/>
      <c r="BA21" s="429" t="s">
        <v>157</v>
      </c>
      <c r="BB21" s="429"/>
      <c r="BC21" s="259"/>
      <c r="BD21" s="259"/>
      <c r="BE21" s="259"/>
      <c r="BF21" s="259"/>
      <c r="BG21" s="259"/>
      <c r="BH21" s="259"/>
      <c r="BI21" s="429" t="s">
        <v>157</v>
      </c>
      <c r="BJ21" s="429"/>
    </row>
    <row r="22" spans="2:62" customFormat="1" ht="8.1" customHeight="1">
      <c r="N22" s="22"/>
    </row>
    <row r="23" spans="2:62" customFormat="1" ht="12" customHeight="1">
      <c r="C23" s="389" t="s">
        <v>7</v>
      </c>
      <c r="D23" s="389"/>
      <c r="E23" s="389"/>
      <c r="F23" s="389"/>
      <c r="G23" s="380">
        <v>20</v>
      </c>
      <c r="H23" s="380"/>
      <c r="I23" s="380"/>
      <c r="J23" s="389" t="s">
        <v>1</v>
      </c>
      <c r="K23" s="389"/>
      <c r="L23" s="389"/>
      <c r="M23" s="389"/>
      <c r="N23" s="22"/>
      <c r="O23" s="666">
        <v>784658</v>
      </c>
      <c r="P23" s="666"/>
      <c r="Q23" s="666"/>
      <c r="R23" s="666"/>
      <c r="S23" s="666"/>
      <c r="T23" s="666"/>
      <c r="U23" s="666"/>
      <c r="V23" s="666"/>
      <c r="W23" s="666">
        <v>987776</v>
      </c>
      <c r="X23" s="666"/>
      <c r="Y23" s="666"/>
      <c r="Z23" s="666"/>
      <c r="AA23" s="666"/>
      <c r="AB23" s="666"/>
      <c r="AC23" s="666"/>
      <c r="AD23" s="666"/>
      <c r="AE23" s="666">
        <v>859934</v>
      </c>
      <c r="AF23" s="666"/>
      <c r="AG23" s="666"/>
      <c r="AH23" s="666"/>
      <c r="AI23" s="666"/>
      <c r="AJ23" s="666"/>
      <c r="AK23" s="666"/>
      <c r="AL23" s="666"/>
      <c r="AM23" s="666">
        <v>286009</v>
      </c>
      <c r="AN23" s="666"/>
      <c r="AO23" s="666"/>
      <c r="AP23" s="666"/>
      <c r="AQ23" s="666"/>
      <c r="AR23" s="666"/>
      <c r="AS23" s="666"/>
      <c r="AT23" s="666"/>
      <c r="AU23" s="666">
        <v>2584456</v>
      </c>
      <c r="AV23" s="666"/>
      <c r="AW23" s="666"/>
      <c r="AX23" s="666"/>
      <c r="AY23" s="666"/>
      <c r="AZ23" s="666"/>
      <c r="BA23" s="666"/>
      <c r="BB23" s="666"/>
      <c r="BC23" s="666">
        <v>1591225</v>
      </c>
      <c r="BD23" s="666"/>
      <c r="BE23" s="666"/>
      <c r="BF23" s="666"/>
      <c r="BG23" s="666"/>
      <c r="BH23" s="666"/>
      <c r="BI23" s="666"/>
      <c r="BJ23" s="666"/>
    </row>
    <row r="24" spans="2:62" customFormat="1" ht="12" customHeight="1">
      <c r="G24" s="380">
        <v>21</v>
      </c>
      <c r="H24" s="380"/>
      <c r="I24" s="380"/>
      <c r="N24" s="22"/>
      <c r="O24" s="667">
        <v>909280</v>
      </c>
      <c r="P24" s="667"/>
      <c r="Q24" s="667"/>
      <c r="R24" s="667"/>
      <c r="S24" s="667"/>
      <c r="T24" s="667"/>
      <c r="U24" s="667"/>
      <c r="V24" s="667"/>
      <c r="W24" s="667">
        <v>1066012</v>
      </c>
      <c r="X24" s="667"/>
      <c r="Y24" s="667"/>
      <c r="Z24" s="667"/>
      <c r="AA24" s="667"/>
      <c r="AB24" s="667"/>
      <c r="AC24" s="667"/>
      <c r="AD24" s="667"/>
      <c r="AE24" s="667">
        <v>979451</v>
      </c>
      <c r="AF24" s="667"/>
      <c r="AG24" s="667"/>
      <c r="AH24" s="667"/>
      <c r="AI24" s="667"/>
      <c r="AJ24" s="667"/>
      <c r="AK24" s="667"/>
      <c r="AL24" s="667"/>
      <c r="AM24" s="667">
        <v>324275</v>
      </c>
      <c r="AN24" s="667"/>
      <c r="AO24" s="667"/>
      <c r="AP24" s="667"/>
      <c r="AQ24" s="667"/>
      <c r="AR24" s="667"/>
      <c r="AS24" s="667"/>
      <c r="AT24" s="667"/>
      <c r="AU24" s="667">
        <v>2990290</v>
      </c>
      <c r="AV24" s="667"/>
      <c r="AW24" s="667"/>
      <c r="AX24" s="667"/>
      <c r="AY24" s="667"/>
      <c r="AZ24" s="667"/>
      <c r="BA24" s="667"/>
      <c r="BB24" s="667"/>
      <c r="BC24" s="667">
        <v>1840526</v>
      </c>
      <c r="BD24" s="667"/>
      <c r="BE24" s="667"/>
      <c r="BF24" s="667"/>
      <c r="BG24" s="667"/>
      <c r="BH24" s="667"/>
      <c r="BI24" s="667"/>
      <c r="BJ24" s="667"/>
    </row>
    <row r="25" spans="2:62" customFormat="1" ht="12" customHeight="1">
      <c r="G25" s="380">
        <v>22</v>
      </c>
      <c r="H25" s="380"/>
      <c r="I25" s="380"/>
      <c r="N25" s="22"/>
      <c r="O25" s="667">
        <v>979174</v>
      </c>
      <c r="P25" s="667"/>
      <c r="Q25" s="667"/>
      <c r="R25" s="667"/>
      <c r="S25" s="667"/>
      <c r="T25" s="667"/>
      <c r="U25" s="667"/>
      <c r="V25" s="667"/>
      <c r="W25" s="667">
        <v>1156796</v>
      </c>
      <c r="X25" s="667"/>
      <c r="Y25" s="667"/>
      <c r="Z25" s="667"/>
      <c r="AA25" s="667"/>
      <c r="AB25" s="667"/>
      <c r="AC25" s="667"/>
      <c r="AD25" s="667"/>
      <c r="AE25" s="667">
        <v>1054874</v>
      </c>
      <c r="AF25" s="667"/>
      <c r="AG25" s="667"/>
      <c r="AH25" s="667"/>
      <c r="AI25" s="667"/>
      <c r="AJ25" s="667"/>
      <c r="AK25" s="667"/>
      <c r="AL25" s="667"/>
      <c r="AM25" s="667">
        <v>370056</v>
      </c>
      <c r="AN25" s="667"/>
      <c r="AO25" s="667"/>
      <c r="AP25" s="667"/>
      <c r="AQ25" s="667"/>
      <c r="AR25" s="667"/>
      <c r="AS25" s="667"/>
      <c r="AT25" s="667"/>
      <c r="AU25" s="667">
        <v>3363544</v>
      </c>
      <c r="AV25" s="667"/>
      <c r="AW25" s="667"/>
      <c r="AX25" s="667"/>
      <c r="AY25" s="667"/>
      <c r="AZ25" s="667"/>
      <c r="BA25" s="667"/>
      <c r="BB25" s="667"/>
      <c r="BC25" s="667">
        <v>1981566</v>
      </c>
      <c r="BD25" s="667"/>
      <c r="BE25" s="667"/>
      <c r="BF25" s="667"/>
      <c r="BG25" s="667"/>
      <c r="BH25" s="667"/>
      <c r="BI25" s="667"/>
      <c r="BJ25" s="667"/>
    </row>
    <row r="26" spans="2:62" customFormat="1" ht="12" customHeight="1">
      <c r="G26" s="380">
        <v>23</v>
      </c>
      <c r="H26" s="380"/>
      <c r="I26" s="380"/>
      <c r="N26" s="22"/>
      <c r="O26" s="667">
        <v>1010942</v>
      </c>
      <c r="P26" s="667"/>
      <c r="Q26" s="667"/>
      <c r="R26" s="667"/>
      <c r="S26" s="667"/>
      <c r="T26" s="667"/>
      <c r="U26" s="667"/>
      <c r="V26" s="667"/>
      <c r="W26" s="667">
        <v>1235120</v>
      </c>
      <c r="X26" s="667"/>
      <c r="Y26" s="667"/>
      <c r="Z26" s="667"/>
      <c r="AA26" s="667"/>
      <c r="AB26" s="667"/>
      <c r="AC26" s="667"/>
      <c r="AD26" s="667"/>
      <c r="AE26" s="667">
        <v>1077774</v>
      </c>
      <c r="AF26" s="667"/>
      <c r="AG26" s="667"/>
      <c r="AH26" s="667"/>
      <c r="AI26" s="667"/>
      <c r="AJ26" s="667"/>
      <c r="AK26" s="667"/>
      <c r="AL26" s="667"/>
      <c r="AM26" s="667">
        <v>436807</v>
      </c>
      <c r="AN26" s="667"/>
      <c r="AO26" s="667"/>
      <c r="AP26" s="667"/>
      <c r="AQ26" s="667"/>
      <c r="AR26" s="667"/>
      <c r="AS26" s="667"/>
      <c r="AT26" s="667"/>
      <c r="AU26" s="667">
        <v>3778862</v>
      </c>
      <c r="AV26" s="667"/>
      <c r="AW26" s="667"/>
      <c r="AX26" s="667"/>
      <c r="AY26" s="667"/>
      <c r="AZ26" s="667"/>
      <c r="BA26" s="667"/>
      <c r="BB26" s="667"/>
      <c r="BC26" s="667">
        <v>2138947</v>
      </c>
      <c r="BD26" s="667"/>
      <c r="BE26" s="667"/>
      <c r="BF26" s="667"/>
      <c r="BG26" s="667"/>
      <c r="BH26" s="667"/>
      <c r="BI26" s="667"/>
      <c r="BJ26" s="667"/>
    </row>
    <row r="27" spans="2:62" customFormat="1" ht="12" customHeight="1">
      <c r="G27" s="392">
        <v>24</v>
      </c>
      <c r="H27" s="392"/>
      <c r="I27" s="392"/>
      <c r="N27" s="22"/>
      <c r="O27" s="664">
        <v>1089349</v>
      </c>
      <c r="P27" s="664"/>
      <c r="Q27" s="664"/>
      <c r="R27" s="664"/>
      <c r="S27" s="664"/>
      <c r="T27" s="664"/>
      <c r="U27" s="664"/>
      <c r="V27" s="664"/>
      <c r="W27" s="664">
        <v>1331593</v>
      </c>
      <c r="X27" s="664"/>
      <c r="Y27" s="664"/>
      <c r="Z27" s="664"/>
      <c r="AA27" s="664"/>
      <c r="AB27" s="664"/>
      <c r="AC27" s="664"/>
      <c r="AD27" s="664"/>
      <c r="AE27" s="664">
        <v>1078997</v>
      </c>
      <c r="AF27" s="664"/>
      <c r="AG27" s="664"/>
      <c r="AH27" s="664"/>
      <c r="AI27" s="664"/>
      <c r="AJ27" s="664"/>
      <c r="AK27" s="664"/>
      <c r="AL27" s="664"/>
      <c r="AM27" s="664">
        <v>500586</v>
      </c>
      <c r="AN27" s="664"/>
      <c r="AO27" s="664"/>
      <c r="AP27" s="664"/>
      <c r="AQ27" s="664"/>
      <c r="AR27" s="664"/>
      <c r="AS27" s="664"/>
      <c r="AT27" s="664"/>
      <c r="AU27" s="664">
        <v>4238329</v>
      </c>
      <c r="AV27" s="664"/>
      <c r="AW27" s="664"/>
      <c r="AX27" s="664"/>
      <c r="AY27" s="664"/>
      <c r="AZ27" s="664"/>
      <c r="BA27" s="664"/>
      <c r="BB27" s="664"/>
      <c r="BC27" s="664">
        <v>2334291</v>
      </c>
      <c r="BD27" s="664"/>
      <c r="BE27" s="664"/>
      <c r="BF27" s="664"/>
      <c r="BG27" s="664"/>
      <c r="BH27" s="664"/>
      <c r="BI27" s="664"/>
      <c r="BJ27" s="664"/>
    </row>
    <row r="28" spans="2:62" customFormat="1" ht="8.1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2:62" customFormat="1" ht="12" customHeight="1">
      <c r="B29" s="411" t="s">
        <v>1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 t="s">
        <v>271</v>
      </c>
      <c r="P29" s="752"/>
      <c r="Q29" s="752"/>
      <c r="R29" s="752"/>
      <c r="S29" s="752"/>
      <c r="T29" s="752"/>
      <c r="U29" s="752"/>
      <c r="V29" s="752"/>
      <c r="W29" s="752"/>
      <c r="X29" s="752"/>
      <c r="Y29" s="752"/>
      <c r="Z29" s="752"/>
      <c r="AA29" s="752"/>
      <c r="AB29" s="752"/>
      <c r="AC29" s="752"/>
      <c r="AD29" s="752"/>
      <c r="AE29" s="386" t="s">
        <v>270</v>
      </c>
      <c r="AF29" s="752"/>
      <c r="AG29" s="752"/>
      <c r="AH29" s="752"/>
      <c r="AI29" s="752"/>
      <c r="AJ29" s="752"/>
      <c r="AK29" s="752"/>
      <c r="AL29" s="752"/>
      <c r="AM29" s="752"/>
      <c r="AN29" s="752"/>
      <c r="AO29" s="752"/>
      <c r="AP29" s="752"/>
      <c r="AQ29" s="752"/>
      <c r="AR29" s="752"/>
      <c r="AS29" s="752"/>
      <c r="AT29" s="752"/>
      <c r="AU29" s="752"/>
      <c r="AV29" s="752"/>
      <c r="AW29" s="752"/>
      <c r="AX29" s="752"/>
      <c r="AY29" s="752"/>
      <c r="AZ29" s="752"/>
      <c r="BA29" s="752"/>
      <c r="BB29" s="752"/>
      <c r="BC29" s="752"/>
      <c r="BD29" s="752"/>
      <c r="BE29" s="752"/>
      <c r="BF29" s="752"/>
      <c r="BG29" s="752"/>
      <c r="BH29" s="752"/>
      <c r="BI29" s="752"/>
      <c r="BJ29" s="755"/>
    </row>
    <row r="30" spans="2:62" customFormat="1" ht="12" customHeight="1">
      <c r="B30" s="412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470" t="s">
        <v>269</v>
      </c>
      <c r="P30" s="470"/>
      <c r="Q30" s="470"/>
      <c r="R30" s="470"/>
      <c r="S30" s="470"/>
      <c r="T30" s="470"/>
      <c r="U30" s="470"/>
      <c r="V30" s="470"/>
      <c r="W30" s="385" t="s">
        <v>268</v>
      </c>
      <c r="X30" s="385"/>
      <c r="Y30" s="385"/>
      <c r="Z30" s="385"/>
      <c r="AA30" s="385"/>
      <c r="AB30" s="385"/>
      <c r="AC30" s="385"/>
      <c r="AD30" s="385"/>
      <c r="AE30" s="470" t="s">
        <v>238</v>
      </c>
      <c r="AF30" s="470"/>
      <c r="AG30" s="470"/>
      <c r="AH30" s="470"/>
      <c r="AI30" s="470"/>
      <c r="AJ30" s="470"/>
      <c r="AK30" s="470"/>
      <c r="AL30" s="470"/>
      <c r="AM30" s="756" t="s">
        <v>267</v>
      </c>
      <c r="AN30" s="385"/>
      <c r="AO30" s="385"/>
      <c r="AP30" s="385"/>
      <c r="AQ30" s="385"/>
      <c r="AR30" s="385"/>
      <c r="AS30" s="385"/>
      <c r="AT30" s="385"/>
      <c r="AU30" s="756" t="s">
        <v>266</v>
      </c>
      <c r="AV30" s="385"/>
      <c r="AW30" s="385"/>
      <c r="AX30" s="385"/>
      <c r="AY30" s="385"/>
      <c r="AZ30" s="385"/>
      <c r="BA30" s="385"/>
      <c r="BB30" s="385"/>
      <c r="BC30" s="756" t="s">
        <v>265</v>
      </c>
      <c r="BD30" s="385"/>
      <c r="BE30" s="385"/>
      <c r="BF30" s="385"/>
      <c r="BG30" s="385"/>
      <c r="BH30" s="385"/>
      <c r="BI30" s="385"/>
      <c r="BJ30" s="388"/>
    </row>
    <row r="31" spans="2:62" customFormat="1" ht="12" customHeight="1">
      <c r="B31" s="412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470"/>
      <c r="P31" s="470"/>
      <c r="Q31" s="470"/>
      <c r="R31" s="470"/>
      <c r="S31" s="470"/>
      <c r="T31" s="470"/>
      <c r="U31" s="470"/>
      <c r="V31" s="470"/>
      <c r="W31" s="385"/>
      <c r="X31" s="385"/>
      <c r="Y31" s="385"/>
      <c r="Z31" s="385"/>
      <c r="AA31" s="385"/>
      <c r="AB31" s="385"/>
      <c r="AC31" s="385"/>
      <c r="AD31" s="385"/>
      <c r="AE31" s="470"/>
      <c r="AF31" s="470"/>
      <c r="AG31" s="470"/>
      <c r="AH31" s="470"/>
      <c r="AI31" s="470"/>
      <c r="AJ31" s="470"/>
      <c r="AK31" s="470"/>
      <c r="AL31" s="470"/>
      <c r="AM31" s="385"/>
      <c r="AN31" s="385"/>
      <c r="AO31" s="385"/>
      <c r="AP31" s="385"/>
      <c r="AQ31" s="385"/>
      <c r="AR31" s="385"/>
      <c r="AS31" s="385"/>
      <c r="AT31" s="385"/>
      <c r="AU31" s="385"/>
      <c r="AV31" s="385"/>
      <c r="AW31" s="385"/>
      <c r="AX31" s="385"/>
      <c r="AY31" s="385"/>
      <c r="AZ31" s="385"/>
      <c r="BA31" s="385"/>
      <c r="BB31" s="385"/>
      <c r="BC31" s="385"/>
      <c r="BD31" s="385"/>
      <c r="BE31" s="385"/>
      <c r="BF31" s="385"/>
      <c r="BG31" s="385"/>
      <c r="BH31" s="385"/>
      <c r="BI31" s="385"/>
      <c r="BJ31" s="388"/>
    </row>
    <row r="32" spans="2:62" customFormat="1" ht="12" customHeight="1"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60"/>
      <c r="O32" s="258"/>
      <c r="P32" s="258"/>
      <c r="Q32" s="258"/>
      <c r="R32" s="258"/>
      <c r="S32" s="258"/>
      <c r="T32" s="258"/>
      <c r="U32" s="429" t="s">
        <v>157</v>
      </c>
      <c r="V32" s="429"/>
      <c r="W32" s="259"/>
      <c r="X32" s="259"/>
      <c r="Y32" s="259"/>
      <c r="Z32" s="259"/>
      <c r="AA32" s="259"/>
      <c r="AB32" s="259"/>
      <c r="AC32" s="429" t="s">
        <v>157</v>
      </c>
      <c r="AD32" s="429"/>
      <c r="AE32" s="258"/>
      <c r="AF32" s="258"/>
      <c r="AG32" s="258"/>
      <c r="AH32" s="258"/>
      <c r="AI32" s="258"/>
      <c r="AJ32" s="258"/>
      <c r="AK32" s="429" t="s">
        <v>157</v>
      </c>
      <c r="AL32" s="429"/>
      <c r="AM32" s="259"/>
      <c r="AN32" s="259"/>
      <c r="AO32" s="259"/>
      <c r="AP32" s="259"/>
      <c r="AQ32" s="259"/>
      <c r="AR32" s="259"/>
      <c r="AS32" s="429" t="s">
        <v>157</v>
      </c>
      <c r="AT32" s="429"/>
      <c r="AU32" s="259"/>
      <c r="AV32" s="259"/>
      <c r="AW32" s="259"/>
      <c r="AX32" s="259"/>
      <c r="AY32" s="259"/>
      <c r="AZ32" s="259"/>
      <c r="BA32" s="429" t="s">
        <v>157</v>
      </c>
      <c r="BB32" s="429"/>
      <c r="BC32" s="259"/>
      <c r="BD32" s="259"/>
      <c r="BE32" s="259"/>
      <c r="BF32" s="259"/>
      <c r="BG32" s="259"/>
      <c r="BH32" s="259"/>
      <c r="BI32" s="429" t="s">
        <v>157</v>
      </c>
      <c r="BJ32" s="429"/>
    </row>
    <row r="33" spans="1:62" customFormat="1" ht="8.1" customHeight="1">
      <c r="N33" s="22"/>
    </row>
    <row r="34" spans="1:62" customFormat="1" ht="12" customHeight="1">
      <c r="C34" s="389" t="s">
        <v>7</v>
      </c>
      <c r="D34" s="389"/>
      <c r="E34" s="389"/>
      <c r="F34" s="389"/>
      <c r="G34" s="380">
        <v>20</v>
      </c>
      <c r="H34" s="380"/>
      <c r="I34" s="380"/>
      <c r="J34" s="389" t="s">
        <v>1</v>
      </c>
      <c r="K34" s="389"/>
      <c r="L34" s="389"/>
      <c r="M34" s="389"/>
      <c r="N34" s="22"/>
      <c r="O34" s="667">
        <v>60185</v>
      </c>
      <c r="P34" s="667"/>
      <c r="Q34" s="667"/>
      <c r="R34" s="667"/>
      <c r="S34" s="667"/>
      <c r="T34" s="667"/>
      <c r="U34" s="667"/>
      <c r="V34" s="667"/>
      <c r="W34" s="667">
        <v>161246</v>
      </c>
      <c r="X34" s="667"/>
      <c r="Y34" s="667"/>
      <c r="Z34" s="667"/>
      <c r="AA34" s="667"/>
      <c r="AB34" s="667"/>
      <c r="AC34" s="667"/>
      <c r="AD34" s="667"/>
      <c r="AE34" s="667">
        <v>9494060</v>
      </c>
      <c r="AF34" s="667"/>
      <c r="AG34" s="667"/>
      <c r="AH34" s="667"/>
      <c r="AI34" s="667"/>
      <c r="AJ34" s="667"/>
      <c r="AK34" s="667"/>
      <c r="AL34" s="667"/>
      <c r="AM34" s="667">
        <v>4718470</v>
      </c>
      <c r="AN34" s="667"/>
      <c r="AO34" s="667"/>
      <c r="AP34" s="667"/>
      <c r="AQ34" s="667"/>
      <c r="AR34" s="667"/>
      <c r="AS34" s="667"/>
      <c r="AT34" s="667"/>
      <c r="AU34" s="667">
        <v>2393730</v>
      </c>
      <c r="AV34" s="667"/>
      <c r="AW34" s="667"/>
      <c r="AX34" s="667"/>
      <c r="AY34" s="667"/>
      <c r="AZ34" s="667"/>
      <c r="BA34" s="667"/>
      <c r="BB34" s="667"/>
      <c r="BC34" s="667">
        <v>2381869</v>
      </c>
      <c r="BD34" s="667"/>
      <c r="BE34" s="667"/>
      <c r="BF34" s="667"/>
      <c r="BG34" s="667"/>
      <c r="BH34" s="667"/>
      <c r="BI34" s="667"/>
      <c r="BJ34" s="667"/>
    </row>
    <row r="35" spans="1:62" customFormat="1" ht="12" customHeight="1">
      <c r="G35" s="380">
        <v>21</v>
      </c>
      <c r="H35" s="380"/>
      <c r="I35" s="380"/>
      <c r="N35" s="22"/>
      <c r="O35" s="667">
        <v>62076</v>
      </c>
      <c r="P35" s="667"/>
      <c r="Q35" s="667"/>
      <c r="R35" s="667"/>
      <c r="S35" s="667"/>
      <c r="T35" s="667"/>
      <c r="U35" s="667"/>
      <c r="V35" s="667"/>
      <c r="W35" s="667">
        <v>161572</v>
      </c>
      <c r="X35" s="667"/>
      <c r="Y35" s="667"/>
      <c r="Z35" s="667"/>
      <c r="AA35" s="667"/>
      <c r="AB35" s="667"/>
      <c r="AC35" s="667"/>
      <c r="AD35" s="667"/>
      <c r="AE35" s="667">
        <v>10177061</v>
      </c>
      <c r="AF35" s="667"/>
      <c r="AG35" s="667"/>
      <c r="AH35" s="667"/>
      <c r="AI35" s="667"/>
      <c r="AJ35" s="667"/>
      <c r="AK35" s="667"/>
      <c r="AL35" s="667"/>
      <c r="AM35" s="667">
        <v>5036437</v>
      </c>
      <c r="AN35" s="667"/>
      <c r="AO35" s="667"/>
      <c r="AP35" s="667"/>
      <c r="AQ35" s="667"/>
      <c r="AR35" s="667"/>
      <c r="AS35" s="667"/>
      <c r="AT35" s="667"/>
      <c r="AU35" s="667">
        <v>2713986</v>
      </c>
      <c r="AV35" s="667"/>
      <c r="AW35" s="667"/>
      <c r="AX35" s="667"/>
      <c r="AY35" s="667"/>
      <c r="AZ35" s="667"/>
      <c r="BA35" s="667"/>
      <c r="BB35" s="667"/>
      <c r="BC35" s="667">
        <v>2426641</v>
      </c>
      <c r="BD35" s="667"/>
      <c r="BE35" s="667"/>
      <c r="BF35" s="667"/>
      <c r="BG35" s="667"/>
      <c r="BH35" s="667"/>
      <c r="BI35" s="667"/>
      <c r="BJ35" s="667"/>
    </row>
    <row r="36" spans="1:62" customFormat="1" ht="12" customHeight="1">
      <c r="G36" s="380">
        <v>22</v>
      </c>
      <c r="H36" s="380"/>
      <c r="I36" s="380"/>
      <c r="N36" s="22"/>
      <c r="O36" s="667">
        <v>71521</v>
      </c>
      <c r="P36" s="667"/>
      <c r="Q36" s="667"/>
      <c r="R36" s="667"/>
      <c r="S36" s="667"/>
      <c r="T36" s="667"/>
      <c r="U36" s="667"/>
      <c r="V36" s="667"/>
      <c r="W36" s="667">
        <v>178217</v>
      </c>
      <c r="X36" s="667"/>
      <c r="Y36" s="667"/>
      <c r="Z36" s="667"/>
      <c r="AA36" s="667"/>
      <c r="AB36" s="667"/>
      <c r="AC36" s="667"/>
      <c r="AD36" s="667"/>
      <c r="AE36" s="667">
        <v>10350152</v>
      </c>
      <c r="AF36" s="667"/>
      <c r="AG36" s="667"/>
      <c r="AH36" s="667"/>
      <c r="AI36" s="667"/>
      <c r="AJ36" s="667"/>
      <c r="AK36" s="667"/>
      <c r="AL36" s="667"/>
      <c r="AM36" s="667">
        <v>5378999</v>
      </c>
      <c r="AN36" s="667"/>
      <c r="AO36" s="667"/>
      <c r="AP36" s="667"/>
      <c r="AQ36" s="667"/>
      <c r="AR36" s="667"/>
      <c r="AS36" s="667"/>
      <c r="AT36" s="667"/>
      <c r="AU36" s="667">
        <v>2796458</v>
      </c>
      <c r="AV36" s="667"/>
      <c r="AW36" s="667"/>
      <c r="AX36" s="667"/>
      <c r="AY36" s="667"/>
      <c r="AZ36" s="667"/>
      <c r="BA36" s="667"/>
      <c r="BB36" s="667"/>
      <c r="BC36" s="667">
        <v>2174695</v>
      </c>
      <c r="BD36" s="667"/>
      <c r="BE36" s="667"/>
      <c r="BF36" s="667"/>
      <c r="BG36" s="667"/>
      <c r="BH36" s="667"/>
      <c r="BI36" s="667"/>
      <c r="BJ36" s="667"/>
    </row>
    <row r="37" spans="1:62" customFormat="1" ht="12" customHeight="1">
      <c r="G37" s="380">
        <v>23</v>
      </c>
      <c r="H37" s="380"/>
      <c r="I37" s="380"/>
      <c r="N37" s="22"/>
      <c r="O37" s="667">
        <v>68021</v>
      </c>
      <c r="P37" s="667"/>
      <c r="Q37" s="667"/>
      <c r="R37" s="667"/>
      <c r="S37" s="667"/>
      <c r="T37" s="667"/>
      <c r="U37" s="667"/>
      <c r="V37" s="667"/>
      <c r="W37" s="667">
        <v>181228</v>
      </c>
      <c r="X37" s="667"/>
      <c r="Y37" s="667"/>
      <c r="Z37" s="667"/>
      <c r="AA37" s="667"/>
      <c r="AB37" s="667"/>
      <c r="AC37" s="667"/>
      <c r="AD37" s="667"/>
      <c r="AE37" s="667">
        <v>10358584</v>
      </c>
      <c r="AF37" s="667"/>
      <c r="AG37" s="667"/>
      <c r="AH37" s="667"/>
      <c r="AI37" s="667"/>
      <c r="AJ37" s="667"/>
      <c r="AK37" s="667"/>
      <c r="AL37" s="667"/>
      <c r="AM37" s="667">
        <v>5532203</v>
      </c>
      <c r="AN37" s="667"/>
      <c r="AO37" s="667"/>
      <c r="AP37" s="667"/>
      <c r="AQ37" s="667"/>
      <c r="AR37" s="667"/>
      <c r="AS37" s="667"/>
      <c r="AT37" s="667"/>
      <c r="AU37" s="667">
        <v>2946935</v>
      </c>
      <c r="AV37" s="667"/>
      <c r="AW37" s="667"/>
      <c r="AX37" s="667"/>
      <c r="AY37" s="667"/>
      <c r="AZ37" s="667"/>
      <c r="BA37" s="667"/>
      <c r="BB37" s="667"/>
      <c r="BC37" s="667">
        <v>1879446</v>
      </c>
      <c r="BD37" s="667"/>
      <c r="BE37" s="667"/>
      <c r="BF37" s="667"/>
      <c r="BG37" s="667"/>
      <c r="BH37" s="667"/>
      <c r="BI37" s="667"/>
      <c r="BJ37" s="667"/>
    </row>
    <row r="38" spans="1:62" customFormat="1" ht="12" customHeight="1">
      <c r="G38" s="392">
        <v>24</v>
      </c>
      <c r="H38" s="392"/>
      <c r="I38" s="392"/>
      <c r="N38" s="22"/>
      <c r="O38" s="664">
        <v>71673</v>
      </c>
      <c r="P38" s="664"/>
      <c r="Q38" s="664"/>
      <c r="R38" s="664"/>
      <c r="S38" s="664"/>
      <c r="T38" s="664"/>
      <c r="U38" s="664"/>
      <c r="V38" s="664"/>
      <c r="W38" s="664">
        <v>192642</v>
      </c>
      <c r="X38" s="664"/>
      <c r="Y38" s="664"/>
      <c r="Z38" s="664"/>
      <c r="AA38" s="664"/>
      <c r="AB38" s="664"/>
      <c r="AC38" s="664"/>
      <c r="AD38" s="664"/>
      <c r="AE38" s="664">
        <f>SUM(AM38:BJ38)</f>
        <v>10727312</v>
      </c>
      <c r="AF38" s="664"/>
      <c r="AG38" s="664"/>
      <c r="AH38" s="664"/>
      <c r="AI38" s="664"/>
      <c r="AJ38" s="664"/>
      <c r="AK38" s="664"/>
      <c r="AL38" s="664"/>
      <c r="AM38" s="664">
        <v>5688828</v>
      </c>
      <c r="AN38" s="664"/>
      <c r="AO38" s="664"/>
      <c r="AP38" s="664"/>
      <c r="AQ38" s="664"/>
      <c r="AR38" s="664"/>
      <c r="AS38" s="664"/>
      <c r="AT38" s="664"/>
      <c r="AU38" s="664">
        <v>3235431</v>
      </c>
      <c r="AV38" s="664"/>
      <c r="AW38" s="664"/>
      <c r="AX38" s="664"/>
      <c r="AY38" s="664"/>
      <c r="AZ38" s="664"/>
      <c r="BA38" s="664"/>
      <c r="BB38" s="664"/>
      <c r="BC38" s="664">
        <v>1803053</v>
      </c>
      <c r="BD38" s="664"/>
      <c r="BE38" s="664"/>
      <c r="BF38" s="664"/>
      <c r="BG38" s="664"/>
      <c r="BH38" s="664"/>
      <c r="BI38" s="664"/>
      <c r="BJ38" s="664"/>
    </row>
    <row r="39" spans="1:62" customFormat="1" ht="8.1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ht="12.95" customHeight="1">
      <c r="A40" s="122"/>
      <c r="B40" s="565" t="s">
        <v>1</v>
      </c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52"/>
      <c r="N40" s="752"/>
      <c r="O40" s="763" t="s">
        <v>270</v>
      </c>
      <c r="P40" s="764"/>
      <c r="Q40" s="764"/>
      <c r="R40" s="764"/>
      <c r="S40" s="764"/>
      <c r="T40" s="764"/>
      <c r="U40" s="764"/>
      <c r="V40" s="764"/>
      <c r="W40" s="561" t="s">
        <v>338</v>
      </c>
      <c r="X40" s="752"/>
      <c r="Y40" s="752"/>
      <c r="Z40" s="752"/>
      <c r="AA40" s="752"/>
      <c r="AB40" s="752"/>
      <c r="AC40" s="752"/>
      <c r="AD40" s="752"/>
      <c r="AE40" s="752"/>
      <c r="AF40" s="752"/>
      <c r="AG40" s="752"/>
      <c r="AH40" s="752"/>
      <c r="AI40" s="752"/>
      <c r="AJ40" s="752"/>
      <c r="AK40" s="752"/>
      <c r="AL40" s="752"/>
      <c r="AM40" s="752"/>
      <c r="AN40" s="752"/>
      <c r="AO40" s="752"/>
      <c r="AP40" s="752"/>
      <c r="AQ40" s="752"/>
      <c r="AR40" s="752"/>
      <c r="AS40" s="752"/>
      <c r="AT40" s="752"/>
      <c r="AU40" s="752"/>
      <c r="AV40" s="752"/>
      <c r="AW40" s="752"/>
      <c r="AX40" s="752"/>
      <c r="AY40" s="752"/>
      <c r="AZ40" s="752"/>
      <c r="BA40" s="752"/>
      <c r="BB40" s="752"/>
      <c r="BC40" s="752"/>
      <c r="BD40" s="752"/>
      <c r="BE40" s="752"/>
      <c r="BF40" s="752"/>
      <c r="BG40" s="752"/>
      <c r="BH40" s="752"/>
      <c r="BI40" s="752"/>
      <c r="BJ40" s="755"/>
    </row>
    <row r="41" spans="1:62" ht="12.95" customHeight="1">
      <c r="A41" s="122"/>
      <c r="B41" s="762"/>
      <c r="C41" s="753"/>
      <c r="D41" s="753"/>
      <c r="E41" s="753"/>
      <c r="F41" s="753"/>
      <c r="G41" s="753"/>
      <c r="H41" s="753"/>
      <c r="I41" s="753"/>
      <c r="J41" s="753"/>
      <c r="K41" s="753"/>
      <c r="L41" s="753"/>
      <c r="M41" s="753"/>
      <c r="N41" s="753"/>
      <c r="O41" s="562" t="s">
        <v>343</v>
      </c>
      <c r="P41" s="753"/>
      <c r="Q41" s="753"/>
      <c r="R41" s="753"/>
      <c r="S41" s="753"/>
      <c r="T41" s="753"/>
      <c r="U41" s="753"/>
      <c r="V41" s="753"/>
      <c r="W41" s="765" t="s">
        <v>238</v>
      </c>
      <c r="X41" s="766"/>
      <c r="Y41" s="766"/>
      <c r="Z41" s="766"/>
      <c r="AA41" s="766"/>
      <c r="AB41" s="766"/>
      <c r="AC41" s="766"/>
      <c r="AD41" s="766"/>
      <c r="AE41" s="574" t="s">
        <v>342</v>
      </c>
      <c r="AF41" s="753"/>
      <c r="AG41" s="753"/>
      <c r="AH41" s="753"/>
      <c r="AI41" s="753"/>
      <c r="AJ41" s="753"/>
      <c r="AK41" s="753"/>
      <c r="AL41" s="753"/>
      <c r="AM41" s="574" t="s">
        <v>341</v>
      </c>
      <c r="AN41" s="753"/>
      <c r="AO41" s="753"/>
      <c r="AP41" s="753"/>
      <c r="AQ41" s="753"/>
      <c r="AR41" s="753"/>
      <c r="AS41" s="753"/>
      <c r="AT41" s="753"/>
      <c r="AU41" s="574" t="s">
        <v>340</v>
      </c>
      <c r="AV41" s="753"/>
      <c r="AW41" s="753"/>
      <c r="AX41" s="753"/>
      <c r="AY41" s="753"/>
      <c r="AZ41" s="753"/>
      <c r="BA41" s="753"/>
      <c r="BB41" s="753"/>
      <c r="BC41" s="574" t="s">
        <v>339</v>
      </c>
      <c r="BD41" s="753"/>
      <c r="BE41" s="753"/>
      <c r="BF41" s="753"/>
      <c r="BG41" s="753"/>
      <c r="BH41" s="753"/>
      <c r="BI41" s="753"/>
      <c r="BJ41" s="767"/>
    </row>
    <row r="42" spans="1:62" ht="12.95" customHeight="1">
      <c r="A42" s="122"/>
      <c r="B42" s="762"/>
      <c r="C42" s="753"/>
      <c r="D42" s="753"/>
      <c r="E42" s="753"/>
      <c r="F42" s="753"/>
      <c r="G42" s="753"/>
      <c r="H42" s="753"/>
      <c r="I42" s="753"/>
      <c r="J42" s="753"/>
      <c r="K42" s="753"/>
      <c r="L42" s="753"/>
      <c r="M42" s="753"/>
      <c r="N42" s="753"/>
      <c r="O42" s="753"/>
      <c r="P42" s="753"/>
      <c r="Q42" s="753"/>
      <c r="R42" s="753"/>
      <c r="S42" s="753"/>
      <c r="T42" s="753"/>
      <c r="U42" s="753"/>
      <c r="V42" s="753"/>
      <c r="W42" s="766"/>
      <c r="X42" s="766"/>
      <c r="Y42" s="766"/>
      <c r="Z42" s="766"/>
      <c r="AA42" s="766"/>
      <c r="AB42" s="766"/>
      <c r="AC42" s="766"/>
      <c r="AD42" s="766"/>
      <c r="AE42" s="753"/>
      <c r="AF42" s="753"/>
      <c r="AG42" s="753"/>
      <c r="AH42" s="753"/>
      <c r="AI42" s="753"/>
      <c r="AJ42" s="753"/>
      <c r="AK42" s="753"/>
      <c r="AL42" s="753"/>
      <c r="AM42" s="753"/>
      <c r="AN42" s="753"/>
      <c r="AO42" s="753"/>
      <c r="AP42" s="753"/>
      <c r="AQ42" s="753"/>
      <c r="AR42" s="753"/>
      <c r="AS42" s="753"/>
      <c r="AT42" s="753"/>
      <c r="AU42" s="753"/>
      <c r="AV42" s="753"/>
      <c r="AW42" s="753"/>
      <c r="AX42" s="753"/>
      <c r="AY42" s="753"/>
      <c r="AZ42" s="753"/>
      <c r="BA42" s="753"/>
      <c r="BB42" s="753"/>
      <c r="BC42" s="753"/>
      <c r="BD42" s="753"/>
      <c r="BE42" s="753"/>
      <c r="BF42" s="753"/>
      <c r="BG42" s="753"/>
      <c r="BH42" s="753"/>
      <c r="BI42" s="753"/>
      <c r="BJ42" s="767"/>
    </row>
    <row r="43" spans="1:62" ht="12.95" customHeight="1">
      <c r="A43" s="122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7"/>
      <c r="O43" s="124"/>
      <c r="P43" s="124"/>
      <c r="Q43" s="124"/>
      <c r="R43" s="124"/>
      <c r="S43" s="124"/>
      <c r="T43" s="124"/>
      <c r="U43" s="416" t="s">
        <v>157</v>
      </c>
      <c r="V43" s="773"/>
      <c r="W43" s="128"/>
      <c r="X43" s="128"/>
      <c r="Y43" s="128"/>
      <c r="Z43" s="128"/>
      <c r="AA43" s="128"/>
      <c r="AB43" s="128"/>
      <c r="AC43" s="416" t="s">
        <v>157</v>
      </c>
      <c r="AD43" s="773"/>
      <c r="AE43" s="124"/>
      <c r="AF43" s="124"/>
      <c r="AG43" s="124"/>
      <c r="AH43" s="124"/>
      <c r="AI43" s="124"/>
      <c r="AJ43" s="124"/>
      <c r="AK43" s="416" t="s">
        <v>157</v>
      </c>
      <c r="AL43" s="773"/>
      <c r="AM43" s="124"/>
      <c r="AN43" s="124"/>
      <c r="AO43" s="124"/>
      <c r="AP43" s="124"/>
      <c r="AQ43" s="124"/>
      <c r="AR43" s="124"/>
      <c r="AS43" s="416" t="s">
        <v>157</v>
      </c>
      <c r="AT43" s="773"/>
      <c r="AU43" s="124"/>
      <c r="AV43" s="124"/>
      <c r="AW43" s="124"/>
      <c r="AX43" s="124"/>
      <c r="AY43" s="124"/>
      <c r="AZ43" s="124"/>
      <c r="BA43" s="416" t="s">
        <v>157</v>
      </c>
      <c r="BB43" s="773"/>
      <c r="BC43" s="124"/>
      <c r="BD43" s="124"/>
      <c r="BE43" s="124"/>
      <c r="BF43" s="124"/>
      <c r="BG43" s="124"/>
      <c r="BH43" s="124"/>
      <c r="BI43" s="416" t="s">
        <v>157</v>
      </c>
      <c r="BJ43" s="773"/>
    </row>
    <row r="44" spans="1:62" ht="8.1" customHeight="1">
      <c r="A44" s="122"/>
      <c r="N44" s="76"/>
    </row>
    <row r="45" spans="1:62" ht="12.95" customHeight="1">
      <c r="A45" s="122"/>
      <c r="C45" s="577" t="s">
        <v>7</v>
      </c>
      <c r="D45" s="768"/>
      <c r="E45" s="768"/>
      <c r="F45" s="768"/>
      <c r="G45" s="568">
        <v>20</v>
      </c>
      <c r="H45" s="761"/>
      <c r="I45" s="761"/>
      <c r="J45" s="577" t="s">
        <v>1</v>
      </c>
      <c r="K45" s="768"/>
      <c r="L45" s="768"/>
      <c r="M45" s="768"/>
      <c r="N45" s="76"/>
      <c r="O45" s="651">
        <v>-9</v>
      </c>
      <c r="P45" s="758"/>
      <c r="Q45" s="758"/>
      <c r="R45" s="758"/>
      <c r="S45" s="758"/>
      <c r="T45" s="758"/>
      <c r="U45" s="758"/>
      <c r="V45" s="758"/>
      <c r="W45" s="758">
        <f>SUM(AE45:BJ45,O56:AD56)</f>
        <v>1448504</v>
      </c>
      <c r="X45" s="758"/>
      <c r="Y45" s="758"/>
      <c r="Z45" s="758"/>
      <c r="AA45" s="758"/>
      <c r="AB45" s="758"/>
      <c r="AC45" s="758"/>
      <c r="AD45" s="758"/>
      <c r="AE45" s="758">
        <v>21577</v>
      </c>
      <c r="AF45" s="758"/>
      <c r="AG45" s="758"/>
      <c r="AH45" s="758"/>
      <c r="AI45" s="758"/>
      <c r="AJ45" s="758"/>
      <c r="AK45" s="758"/>
      <c r="AL45" s="758"/>
      <c r="AM45" s="758">
        <v>420180</v>
      </c>
      <c r="AN45" s="758"/>
      <c r="AO45" s="758"/>
      <c r="AP45" s="758"/>
      <c r="AQ45" s="758"/>
      <c r="AR45" s="758"/>
      <c r="AS45" s="758"/>
      <c r="AT45" s="758"/>
      <c r="AU45" s="758">
        <v>152777</v>
      </c>
      <c r="AV45" s="758"/>
      <c r="AW45" s="758"/>
      <c r="AX45" s="758"/>
      <c r="AY45" s="758"/>
      <c r="AZ45" s="758"/>
      <c r="BA45" s="758"/>
      <c r="BB45" s="758"/>
      <c r="BC45" s="758">
        <v>853970</v>
      </c>
      <c r="BD45" s="758"/>
      <c r="BE45" s="758"/>
      <c r="BF45" s="758"/>
      <c r="BG45" s="758"/>
      <c r="BH45" s="758"/>
      <c r="BI45" s="758"/>
      <c r="BJ45" s="758"/>
    </row>
    <row r="46" spans="1:62" ht="12.95" customHeight="1">
      <c r="A46" s="122"/>
      <c r="G46" s="568">
        <v>21</v>
      </c>
      <c r="H46" s="761"/>
      <c r="I46" s="761"/>
      <c r="N46" s="76"/>
      <c r="O46" s="651">
        <v>-2</v>
      </c>
      <c r="P46" s="758"/>
      <c r="Q46" s="758"/>
      <c r="R46" s="758"/>
      <c r="S46" s="758"/>
      <c r="T46" s="758"/>
      <c r="U46" s="758"/>
      <c r="V46" s="758"/>
      <c r="W46" s="758">
        <f>SUM(AE46:BJ46,O57:AD57)</f>
        <v>1633800</v>
      </c>
      <c r="X46" s="758"/>
      <c r="Y46" s="758"/>
      <c r="Z46" s="758"/>
      <c r="AA46" s="758"/>
      <c r="AB46" s="758"/>
      <c r="AC46" s="758"/>
      <c r="AD46" s="758"/>
      <c r="AE46" s="758">
        <v>33235</v>
      </c>
      <c r="AF46" s="758"/>
      <c r="AG46" s="758"/>
      <c r="AH46" s="758"/>
      <c r="AI46" s="758"/>
      <c r="AJ46" s="758"/>
      <c r="AK46" s="758"/>
      <c r="AL46" s="758"/>
      <c r="AM46" s="758">
        <v>417433</v>
      </c>
      <c r="AN46" s="758"/>
      <c r="AO46" s="758"/>
      <c r="AP46" s="758"/>
      <c r="AQ46" s="758"/>
      <c r="AR46" s="758"/>
      <c r="AS46" s="758"/>
      <c r="AT46" s="758"/>
      <c r="AU46" s="758">
        <v>221702</v>
      </c>
      <c r="AV46" s="758"/>
      <c r="AW46" s="758"/>
      <c r="AX46" s="758"/>
      <c r="AY46" s="758"/>
      <c r="AZ46" s="758"/>
      <c r="BA46" s="758"/>
      <c r="BB46" s="758"/>
      <c r="BC46" s="758">
        <v>961430</v>
      </c>
      <c r="BD46" s="758"/>
      <c r="BE46" s="758"/>
      <c r="BF46" s="758"/>
      <c r="BG46" s="758"/>
      <c r="BH46" s="758"/>
      <c r="BI46" s="758"/>
      <c r="BJ46" s="758"/>
    </row>
    <row r="47" spans="1:62" ht="12.95" customHeight="1">
      <c r="A47" s="122"/>
      <c r="G47" s="568">
        <v>22</v>
      </c>
      <c r="H47" s="761"/>
      <c r="I47" s="761"/>
      <c r="N47" s="76"/>
      <c r="O47" s="651">
        <v>0</v>
      </c>
      <c r="P47" s="758"/>
      <c r="Q47" s="758"/>
      <c r="R47" s="758"/>
      <c r="S47" s="758"/>
      <c r="T47" s="758"/>
      <c r="U47" s="758"/>
      <c r="V47" s="758"/>
      <c r="W47" s="758">
        <f>SUM(AE47:BJ47,O58:AD58)</f>
        <v>1830867</v>
      </c>
      <c r="X47" s="758"/>
      <c r="Y47" s="758"/>
      <c r="Z47" s="758"/>
      <c r="AA47" s="758"/>
      <c r="AB47" s="758"/>
      <c r="AC47" s="758"/>
      <c r="AD47" s="758"/>
      <c r="AE47" s="758">
        <v>36356</v>
      </c>
      <c r="AF47" s="758"/>
      <c r="AG47" s="758"/>
      <c r="AH47" s="758"/>
      <c r="AI47" s="758"/>
      <c r="AJ47" s="758"/>
      <c r="AK47" s="758"/>
      <c r="AL47" s="758"/>
      <c r="AM47" s="758">
        <v>419736</v>
      </c>
      <c r="AN47" s="758"/>
      <c r="AO47" s="758"/>
      <c r="AP47" s="758"/>
      <c r="AQ47" s="758"/>
      <c r="AR47" s="758"/>
      <c r="AS47" s="758"/>
      <c r="AT47" s="758"/>
      <c r="AU47" s="758">
        <v>311708</v>
      </c>
      <c r="AV47" s="758"/>
      <c r="AW47" s="758"/>
      <c r="AX47" s="758"/>
      <c r="AY47" s="758"/>
      <c r="AZ47" s="758"/>
      <c r="BA47" s="758"/>
      <c r="BB47" s="758"/>
      <c r="BC47" s="758">
        <v>1063067</v>
      </c>
      <c r="BD47" s="758"/>
      <c r="BE47" s="758"/>
      <c r="BF47" s="758"/>
      <c r="BG47" s="758"/>
      <c r="BH47" s="758"/>
      <c r="BI47" s="758"/>
      <c r="BJ47" s="758"/>
    </row>
    <row r="48" spans="1:62" ht="12.95" customHeight="1">
      <c r="A48" s="122"/>
      <c r="G48" s="568">
        <v>23</v>
      </c>
      <c r="H48" s="761"/>
      <c r="I48" s="761"/>
      <c r="N48" s="76"/>
      <c r="O48" s="651">
        <v>0</v>
      </c>
      <c r="P48" s="758"/>
      <c r="Q48" s="758"/>
      <c r="R48" s="758"/>
      <c r="S48" s="758"/>
      <c r="T48" s="758"/>
      <c r="U48" s="758"/>
      <c r="V48" s="758"/>
      <c r="W48" s="758">
        <f>SUM(AE48:BJ48,O59:AD59)</f>
        <v>2202340</v>
      </c>
      <c r="X48" s="758"/>
      <c r="Y48" s="758"/>
      <c r="Z48" s="758"/>
      <c r="AA48" s="758"/>
      <c r="AB48" s="758"/>
      <c r="AC48" s="758"/>
      <c r="AD48" s="758"/>
      <c r="AE48" s="758">
        <v>63816</v>
      </c>
      <c r="AF48" s="758"/>
      <c r="AG48" s="758"/>
      <c r="AH48" s="758"/>
      <c r="AI48" s="758"/>
      <c r="AJ48" s="758"/>
      <c r="AK48" s="758"/>
      <c r="AL48" s="758"/>
      <c r="AM48" s="758">
        <v>429221</v>
      </c>
      <c r="AN48" s="758"/>
      <c r="AO48" s="758"/>
      <c r="AP48" s="758"/>
      <c r="AQ48" s="758"/>
      <c r="AR48" s="758"/>
      <c r="AS48" s="758"/>
      <c r="AT48" s="758"/>
      <c r="AU48" s="758">
        <v>422637</v>
      </c>
      <c r="AV48" s="758"/>
      <c r="AW48" s="758"/>
      <c r="AX48" s="758"/>
      <c r="AY48" s="758"/>
      <c r="AZ48" s="758"/>
      <c r="BA48" s="758"/>
      <c r="BB48" s="758"/>
      <c r="BC48" s="758">
        <v>1284569</v>
      </c>
      <c r="BD48" s="758"/>
      <c r="BE48" s="758"/>
      <c r="BF48" s="758"/>
      <c r="BG48" s="758"/>
      <c r="BH48" s="758"/>
      <c r="BI48" s="758"/>
      <c r="BJ48" s="758"/>
    </row>
    <row r="49" spans="1:62" ht="12.95" customHeight="1">
      <c r="A49" s="122"/>
      <c r="G49" s="578">
        <v>24</v>
      </c>
      <c r="H49" s="392"/>
      <c r="I49" s="392"/>
      <c r="N49" s="76"/>
      <c r="O49" s="759">
        <v>0</v>
      </c>
      <c r="P49" s="760"/>
      <c r="Q49" s="760"/>
      <c r="R49" s="760"/>
      <c r="S49" s="760"/>
      <c r="T49" s="760"/>
      <c r="U49" s="760"/>
      <c r="V49" s="760"/>
      <c r="W49" s="760">
        <f>SUM(AE49:BJ49,O60:AD60)</f>
        <v>2614195</v>
      </c>
      <c r="X49" s="760"/>
      <c r="Y49" s="760"/>
      <c r="Z49" s="760"/>
      <c r="AA49" s="760"/>
      <c r="AB49" s="760"/>
      <c r="AC49" s="760"/>
      <c r="AD49" s="760"/>
      <c r="AE49" s="760">
        <v>87966</v>
      </c>
      <c r="AF49" s="760"/>
      <c r="AG49" s="760"/>
      <c r="AH49" s="760"/>
      <c r="AI49" s="760"/>
      <c r="AJ49" s="760"/>
      <c r="AK49" s="760"/>
      <c r="AL49" s="760"/>
      <c r="AM49" s="760">
        <v>463429</v>
      </c>
      <c r="AN49" s="760"/>
      <c r="AO49" s="760"/>
      <c r="AP49" s="760"/>
      <c r="AQ49" s="760"/>
      <c r="AR49" s="760"/>
      <c r="AS49" s="760"/>
      <c r="AT49" s="760"/>
      <c r="AU49" s="760">
        <v>544246</v>
      </c>
      <c r="AV49" s="760"/>
      <c r="AW49" s="760"/>
      <c r="AX49" s="760"/>
      <c r="AY49" s="760"/>
      <c r="AZ49" s="760"/>
      <c r="BA49" s="760"/>
      <c r="BB49" s="760"/>
      <c r="BC49" s="760">
        <v>1502697</v>
      </c>
      <c r="BD49" s="760"/>
      <c r="BE49" s="760"/>
      <c r="BF49" s="760"/>
      <c r="BG49" s="760"/>
      <c r="BH49" s="760"/>
      <c r="BI49" s="760"/>
      <c r="BJ49" s="760"/>
    </row>
    <row r="50" spans="1:62" ht="8.1" customHeight="1">
      <c r="A50" s="122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70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</row>
    <row r="51" spans="1:62" ht="12.95" customHeight="1">
      <c r="A51" s="122"/>
      <c r="B51" s="565" t="s">
        <v>1</v>
      </c>
      <c r="C51" s="752"/>
      <c r="D51" s="752"/>
      <c r="E51" s="752"/>
      <c r="F51" s="752"/>
      <c r="G51" s="752"/>
      <c r="H51" s="752"/>
      <c r="I51" s="752"/>
      <c r="J51" s="752"/>
      <c r="K51" s="752"/>
      <c r="L51" s="752"/>
      <c r="M51" s="752"/>
      <c r="N51" s="752"/>
      <c r="O51" s="573" t="s">
        <v>338</v>
      </c>
      <c r="P51" s="775"/>
      <c r="Q51" s="775"/>
      <c r="R51" s="775"/>
      <c r="S51" s="775"/>
      <c r="T51" s="775"/>
      <c r="U51" s="775"/>
      <c r="V51" s="775"/>
      <c r="W51" s="775"/>
      <c r="X51" s="775"/>
      <c r="Y51" s="775"/>
      <c r="Z51" s="775"/>
      <c r="AA51" s="775"/>
      <c r="AB51" s="775"/>
      <c r="AC51" s="775"/>
      <c r="AD51" s="776"/>
      <c r="AE51" s="386" t="s">
        <v>196</v>
      </c>
      <c r="AF51" s="752"/>
      <c r="AG51" s="752"/>
      <c r="AH51" s="752"/>
      <c r="AI51" s="752"/>
      <c r="AJ51" s="752"/>
      <c r="AK51" s="752"/>
      <c r="AL51" s="752"/>
      <c r="AM51" s="752"/>
      <c r="AN51" s="752"/>
      <c r="AO51" s="752"/>
      <c r="AP51" s="752"/>
      <c r="AQ51" s="752"/>
      <c r="AR51" s="752"/>
      <c r="AS51" s="752"/>
      <c r="AT51" s="752"/>
      <c r="AU51" s="752"/>
      <c r="AV51" s="752"/>
      <c r="AW51" s="752"/>
      <c r="AX51" s="752"/>
      <c r="AY51" s="752"/>
      <c r="AZ51" s="752"/>
      <c r="BA51" s="752"/>
      <c r="BB51" s="755"/>
    </row>
    <row r="52" spans="1:62" ht="12.95" customHeight="1">
      <c r="A52" s="122"/>
      <c r="B52" s="762"/>
      <c r="C52" s="753"/>
      <c r="D52" s="753"/>
      <c r="E52" s="753"/>
      <c r="F52" s="753"/>
      <c r="G52" s="753"/>
      <c r="H52" s="753"/>
      <c r="I52" s="753"/>
      <c r="J52" s="753"/>
      <c r="K52" s="753"/>
      <c r="L52" s="753"/>
      <c r="M52" s="753"/>
      <c r="N52" s="753"/>
      <c r="O52" s="771" t="s">
        <v>337</v>
      </c>
      <c r="P52" s="771"/>
      <c r="Q52" s="771"/>
      <c r="R52" s="771"/>
      <c r="S52" s="771"/>
      <c r="T52" s="771"/>
      <c r="U52" s="771"/>
      <c r="V52" s="771"/>
      <c r="W52" s="771" t="s">
        <v>408</v>
      </c>
      <c r="X52" s="777"/>
      <c r="Y52" s="777"/>
      <c r="Z52" s="777"/>
      <c r="AA52" s="777"/>
      <c r="AB52" s="777"/>
      <c r="AC52" s="777"/>
      <c r="AD52" s="777"/>
      <c r="AE52" s="574" t="s">
        <v>457</v>
      </c>
      <c r="AF52" s="753"/>
      <c r="AG52" s="753"/>
      <c r="AH52" s="753"/>
      <c r="AI52" s="753"/>
      <c r="AJ52" s="753"/>
      <c r="AK52" s="753"/>
      <c r="AL52" s="753"/>
      <c r="AM52" s="574" t="s">
        <v>336</v>
      </c>
      <c r="AN52" s="574"/>
      <c r="AO52" s="574"/>
      <c r="AP52" s="574"/>
      <c r="AQ52" s="574"/>
      <c r="AR52" s="574"/>
      <c r="AS52" s="574"/>
      <c r="AT52" s="574"/>
      <c r="AU52" s="574" t="s">
        <v>335</v>
      </c>
      <c r="AV52" s="753"/>
      <c r="AW52" s="753"/>
      <c r="AX52" s="753"/>
      <c r="AY52" s="753"/>
      <c r="AZ52" s="753"/>
      <c r="BA52" s="753"/>
      <c r="BB52" s="767"/>
    </row>
    <row r="53" spans="1:62" ht="12.95" customHeight="1">
      <c r="A53" s="122"/>
      <c r="B53" s="762"/>
      <c r="C53" s="753"/>
      <c r="D53" s="753"/>
      <c r="E53" s="753"/>
      <c r="F53" s="753"/>
      <c r="G53" s="753"/>
      <c r="H53" s="753"/>
      <c r="I53" s="753"/>
      <c r="J53" s="753"/>
      <c r="K53" s="753"/>
      <c r="L53" s="753"/>
      <c r="M53" s="753"/>
      <c r="N53" s="753"/>
      <c r="O53" s="771"/>
      <c r="P53" s="771"/>
      <c r="Q53" s="771"/>
      <c r="R53" s="771"/>
      <c r="S53" s="771"/>
      <c r="T53" s="771"/>
      <c r="U53" s="771"/>
      <c r="V53" s="771"/>
      <c r="W53" s="777"/>
      <c r="X53" s="777"/>
      <c r="Y53" s="777"/>
      <c r="Z53" s="777"/>
      <c r="AA53" s="777"/>
      <c r="AB53" s="777"/>
      <c r="AC53" s="777"/>
      <c r="AD53" s="777"/>
      <c r="AE53" s="753"/>
      <c r="AF53" s="753"/>
      <c r="AG53" s="753"/>
      <c r="AH53" s="753"/>
      <c r="AI53" s="753"/>
      <c r="AJ53" s="753"/>
      <c r="AK53" s="753"/>
      <c r="AL53" s="753"/>
      <c r="AM53" s="574"/>
      <c r="AN53" s="574"/>
      <c r="AO53" s="574"/>
      <c r="AP53" s="574"/>
      <c r="AQ53" s="574"/>
      <c r="AR53" s="574"/>
      <c r="AS53" s="574"/>
      <c r="AT53" s="574"/>
      <c r="AU53" s="753"/>
      <c r="AV53" s="753"/>
      <c r="AW53" s="753"/>
      <c r="AX53" s="753"/>
      <c r="AY53" s="753"/>
      <c r="AZ53" s="753"/>
      <c r="BA53" s="753"/>
      <c r="BB53" s="767"/>
    </row>
    <row r="54" spans="1:62" ht="12.95" customHeight="1">
      <c r="A54" s="122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7"/>
      <c r="O54" s="126"/>
      <c r="P54" s="126"/>
      <c r="Q54" s="126"/>
      <c r="R54" s="126"/>
      <c r="S54" s="126"/>
      <c r="T54" s="126"/>
      <c r="U54" s="416" t="s">
        <v>157</v>
      </c>
      <c r="V54" s="773"/>
      <c r="W54" s="221"/>
      <c r="X54" s="221"/>
      <c r="Y54" s="221"/>
      <c r="Z54" s="221"/>
      <c r="AA54" s="221"/>
      <c r="AB54" s="221"/>
      <c r="AC54" s="772" t="s">
        <v>157</v>
      </c>
      <c r="AD54" s="772"/>
      <c r="AE54" s="124"/>
      <c r="AF54" s="124"/>
      <c r="AG54" s="124"/>
      <c r="AH54" s="124"/>
      <c r="AI54" s="124"/>
      <c r="AJ54" s="124"/>
      <c r="AK54" s="416" t="s">
        <v>157</v>
      </c>
      <c r="AL54" s="773"/>
      <c r="AM54" s="125"/>
      <c r="AN54" s="125"/>
      <c r="AO54" s="125"/>
      <c r="AP54" s="125"/>
      <c r="AQ54" s="125"/>
      <c r="AR54" s="125"/>
      <c r="AS54" s="416" t="s">
        <v>157</v>
      </c>
      <c r="AT54" s="773"/>
      <c r="AU54" s="124"/>
      <c r="AV54" s="124"/>
      <c r="AW54" s="124"/>
      <c r="AX54" s="124"/>
      <c r="AY54" s="124"/>
      <c r="AZ54" s="124"/>
      <c r="BA54" s="416" t="s">
        <v>157</v>
      </c>
      <c r="BB54" s="773"/>
    </row>
    <row r="55" spans="1:62" ht="8.1" customHeight="1">
      <c r="A55" s="122"/>
      <c r="N55" s="76"/>
    </row>
    <row r="56" spans="1:62" ht="12.95" customHeight="1">
      <c r="A56" s="122"/>
      <c r="C56" s="577" t="s">
        <v>7</v>
      </c>
      <c r="D56" s="768"/>
      <c r="E56" s="768"/>
      <c r="F56" s="768"/>
      <c r="G56" s="568">
        <v>20</v>
      </c>
      <c r="H56" s="761"/>
      <c r="I56" s="761"/>
      <c r="J56" s="577" t="s">
        <v>1</v>
      </c>
      <c r="K56" s="768"/>
      <c r="L56" s="768"/>
      <c r="M56" s="768"/>
      <c r="N56" s="76"/>
      <c r="O56" s="651">
        <v>0</v>
      </c>
      <c r="P56" s="651"/>
      <c r="Q56" s="651"/>
      <c r="R56" s="651"/>
      <c r="S56" s="651"/>
      <c r="T56" s="651"/>
      <c r="U56" s="651"/>
      <c r="V56" s="651"/>
      <c r="W56" s="758">
        <v>0</v>
      </c>
      <c r="X56" s="758"/>
      <c r="Y56" s="758"/>
      <c r="Z56" s="758"/>
      <c r="AA56" s="758"/>
      <c r="AB56" s="758"/>
      <c r="AC56" s="758"/>
      <c r="AD56" s="758"/>
      <c r="AE56" s="758">
        <v>497410</v>
      </c>
      <c r="AF56" s="758"/>
      <c r="AG56" s="758"/>
      <c r="AH56" s="758"/>
      <c r="AI56" s="758"/>
      <c r="AJ56" s="758"/>
      <c r="AK56" s="758"/>
      <c r="AL56" s="758"/>
      <c r="AM56" s="758">
        <v>50321</v>
      </c>
      <c r="AN56" s="758"/>
      <c r="AO56" s="758"/>
      <c r="AP56" s="758"/>
      <c r="AQ56" s="758"/>
      <c r="AR56" s="758"/>
      <c r="AS56" s="758"/>
      <c r="AT56" s="758"/>
      <c r="AU56" s="758">
        <v>819474</v>
      </c>
      <c r="AV56" s="758"/>
      <c r="AW56" s="758"/>
      <c r="AX56" s="758"/>
      <c r="AY56" s="758"/>
      <c r="AZ56" s="758"/>
      <c r="BA56" s="758"/>
      <c r="BB56" s="758"/>
    </row>
    <row r="57" spans="1:62" ht="12.95" customHeight="1">
      <c r="A57" s="122"/>
      <c r="G57" s="568">
        <v>21</v>
      </c>
      <c r="H57" s="761"/>
      <c r="I57" s="761"/>
      <c r="N57" s="76"/>
      <c r="O57" s="651">
        <v>0</v>
      </c>
      <c r="P57" s="651"/>
      <c r="Q57" s="651"/>
      <c r="R57" s="651"/>
      <c r="S57" s="651"/>
      <c r="T57" s="651"/>
      <c r="U57" s="651"/>
      <c r="V57" s="651"/>
      <c r="W57" s="758">
        <v>0</v>
      </c>
      <c r="X57" s="758"/>
      <c r="Y57" s="758"/>
      <c r="Z57" s="758"/>
      <c r="AA57" s="758"/>
      <c r="AB57" s="758"/>
      <c r="AC57" s="758"/>
      <c r="AD57" s="758"/>
      <c r="AE57" s="758">
        <v>581213</v>
      </c>
      <c r="AF57" s="758"/>
      <c r="AG57" s="758"/>
      <c r="AH57" s="758"/>
      <c r="AI57" s="758"/>
      <c r="AJ57" s="758"/>
      <c r="AK57" s="758"/>
      <c r="AL57" s="758"/>
      <c r="AM57" s="758">
        <v>53517</v>
      </c>
      <c r="AN57" s="758"/>
      <c r="AO57" s="758"/>
      <c r="AP57" s="758"/>
      <c r="AQ57" s="758"/>
      <c r="AR57" s="758"/>
      <c r="AS57" s="758"/>
      <c r="AT57" s="758"/>
      <c r="AU57" s="758">
        <v>861188</v>
      </c>
      <c r="AV57" s="758"/>
      <c r="AW57" s="758"/>
      <c r="AX57" s="758"/>
      <c r="AY57" s="758"/>
      <c r="AZ57" s="758"/>
      <c r="BA57" s="758"/>
      <c r="BB57" s="758"/>
    </row>
    <row r="58" spans="1:62" ht="12.95" customHeight="1">
      <c r="A58" s="122"/>
      <c r="G58" s="568">
        <v>22</v>
      </c>
      <c r="H58" s="761"/>
      <c r="I58" s="761"/>
      <c r="N58" s="76"/>
      <c r="O58" s="651">
        <v>0</v>
      </c>
      <c r="P58" s="651"/>
      <c r="Q58" s="651"/>
      <c r="R58" s="651"/>
      <c r="S58" s="651"/>
      <c r="T58" s="651"/>
      <c r="U58" s="651"/>
      <c r="V58" s="651"/>
      <c r="W58" s="758">
        <v>0</v>
      </c>
      <c r="X58" s="758"/>
      <c r="Y58" s="758"/>
      <c r="Z58" s="758"/>
      <c r="AA58" s="758"/>
      <c r="AB58" s="758"/>
      <c r="AC58" s="758"/>
      <c r="AD58" s="758"/>
      <c r="AE58" s="758">
        <v>728271</v>
      </c>
      <c r="AF58" s="758"/>
      <c r="AG58" s="758"/>
      <c r="AH58" s="758"/>
      <c r="AI58" s="758"/>
      <c r="AJ58" s="758"/>
      <c r="AK58" s="758"/>
      <c r="AL58" s="758"/>
      <c r="AM58" s="758">
        <v>57394</v>
      </c>
      <c r="AN58" s="758"/>
      <c r="AO58" s="758"/>
      <c r="AP58" s="758"/>
      <c r="AQ58" s="758"/>
      <c r="AR58" s="758"/>
      <c r="AS58" s="758"/>
      <c r="AT58" s="758"/>
      <c r="AU58" s="758">
        <v>910240</v>
      </c>
      <c r="AV58" s="758"/>
      <c r="AW58" s="758"/>
      <c r="AX58" s="758"/>
      <c r="AY58" s="758"/>
      <c r="AZ58" s="758"/>
      <c r="BA58" s="758"/>
      <c r="BB58" s="758"/>
    </row>
    <row r="59" spans="1:62" ht="12.95" customHeight="1">
      <c r="A59" s="122"/>
      <c r="G59" s="568">
        <v>23</v>
      </c>
      <c r="H59" s="761"/>
      <c r="I59" s="761"/>
      <c r="N59" s="76"/>
      <c r="O59" s="651">
        <v>2097</v>
      </c>
      <c r="P59" s="651"/>
      <c r="Q59" s="651"/>
      <c r="R59" s="651"/>
      <c r="S59" s="651"/>
      <c r="T59" s="651"/>
      <c r="U59" s="651"/>
      <c r="V59" s="651"/>
      <c r="W59" s="758">
        <v>0</v>
      </c>
      <c r="X59" s="758"/>
      <c r="Y59" s="758"/>
      <c r="Z59" s="758"/>
      <c r="AA59" s="758"/>
      <c r="AB59" s="758"/>
      <c r="AC59" s="758"/>
      <c r="AD59" s="758"/>
      <c r="AE59" s="758">
        <v>762134</v>
      </c>
      <c r="AF59" s="758"/>
      <c r="AG59" s="758"/>
      <c r="AH59" s="758"/>
      <c r="AI59" s="758"/>
      <c r="AJ59" s="758"/>
      <c r="AK59" s="758"/>
      <c r="AL59" s="758"/>
      <c r="AM59" s="758">
        <v>61736</v>
      </c>
      <c r="AN59" s="758"/>
      <c r="AO59" s="758"/>
      <c r="AP59" s="758"/>
      <c r="AQ59" s="758"/>
      <c r="AR59" s="758"/>
      <c r="AS59" s="758"/>
      <c r="AT59" s="758"/>
      <c r="AU59" s="758">
        <v>940019</v>
      </c>
      <c r="AV59" s="758"/>
      <c r="AW59" s="758"/>
      <c r="AX59" s="758"/>
      <c r="AY59" s="758"/>
      <c r="AZ59" s="758"/>
      <c r="BA59" s="758"/>
      <c r="BB59" s="758"/>
    </row>
    <row r="60" spans="1:62" ht="12.95" customHeight="1">
      <c r="A60" s="122"/>
      <c r="G60" s="578">
        <v>24</v>
      </c>
      <c r="H60" s="392"/>
      <c r="I60" s="392"/>
      <c r="N60" s="76"/>
      <c r="O60" s="769">
        <v>0</v>
      </c>
      <c r="P60" s="759"/>
      <c r="Q60" s="759"/>
      <c r="R60" s="759"/>
      <c r="S60" s="759"/>
      <c r="T60" s="759"/>
      <c r="U60" s="759"/>
      <c r="V60" s="759"/>
      <c r="W60" s="759">
        <v>15857</v>
      </c>
      <c r="X60" s="759"/>
      <c r="Y60" s="759"/>
      <c r="Z60" s="759"/>
      <c r="AA60" s="759"/>
      <c r="AB60" s="759"/>
      <c r="AC60" s="759"/>
      <c r="AD60" s="759"/>
      <c r="AE60" s="760">
        <v>877887</v>
      </c>
      <c r="AF60" s="760"/>
      <c r="AG60" s="760"/>
      <c r="AH60" s="760"/>
      <c r="AI60" s="760"/>
      <c r="AJ60" s="760"/>
      <c r="AK60" s="760"/>
      <c r="AL60" s="760"/>
      <c r="AM60" s="760">
        <v>53397</v>
      </c>
      <c r="AN60" s="760"/>
      <c r="AO60" s="760"/>
      <c r="AP60" s="760"/>
      <c r="AQ60" s="760"/>
      <c r="AR60" s="760"/>
      <c r="AS60" s="760"/>
      <c r="AT60" s="760"/>
      <c r="AU60" s="760">
        <v>997228</v>
      </c>
      <c r="AV60" s="760"/>
      <c r="AW60" s="760"/>
      <c r="AX60" s="760"/>
      <c r="AY60" s="760"/>
      <c r="AZ60" s="760"/>
      <c r="BA60" s="760"/>
      <c r="BB60" s="760"/>
    </row>
    <row r="61" spans="1:62" ht="8.1" customHeight="1">
      <c r="A61" s="122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70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</row>
    <row r="62" spans="1:62" ht="12" customHeight="1">
      <c r="A62" s="122"/>
      <c r="B62" s="774" t="s">
        <v>9</v>
      </c>
      <c r="C62" s="404"/>
      <c r="D62" s="404"/>
      <c r="E62" s="66" t="s">
        <v>170</v>
      </c>
      <c r="F62" s="123" t="s">
        <v>233</v>
      </c>
    </row>
    <row r="63" spans="1:62" ht="13.5" customHeight="1">
      <c r="A63" s="122"/>
    </row>
    <row r="64" spans="1:62" s="98" customFormat="1" ht="18" customHeight="1">
      <c r="B64" s="559" t="s">
        <v>398</v>
      </c>
      <c r="C64" s="559"/>
      <c r="D64" s="559"/>
      <c r="E64" s="559"/>
      <c r="F64" s="559"/>
      <c r="G64" s="559"/>
      <c r="H64" s="559"/>
      <c r="I64" s="559"/>
      <c r="J64" s="559"/>
      <c r="K64" s="559"/>
      <c r="L64" s="559"/>
      <c r="M64" s="559"/>
      <c r="N64" s="559"/>
      <c r="O64" s="559"/>
      <c r="P64" s="559"/>
      <c r="Q64" s="559"/>
      <c r="R64" s="559"/>
      <c r="S64" s="559"/>
      <c r="T64" s="559"/>
      <c r="U64" s="559"/>
      <c r="V64" s="559"/>
      <c r="W64" s="559"/>
      <c r="X64" s="559"/>
      <c r="Y64" s="559"/>
      <c r="Z64" s="559"/>
      <c r="AA64" s="559"/>
      <c r="AB64" s="559"/>
      <c r="AC64" s="559"/>
      <c r="AD64" s="559"/>
      <c r="AE64" s="559"/>
      <c r="AF64" s="559"/>
      <c r="AG64" s="559"/>
      <c r="AH64" s="559"/>
      <c r="AI64" s="559"/>
      <c r="AJ64" s="559"/>
      <c r="AK64" s="559"/>
      <c r="AL64" s="559"/>
      <c r="AM64" s="559"/>
      <c r="AN64" s="559"/>
      <c r="AO64" s="559"/>
      <c r="AP64" s="559"/>
      <c r="AQ64" s="559"/>
      <c r="AR64" s="559"/>
      <c r="AS64" s="559"/>
      <c r="AT64" s="559"/>
      <c r="AU64" s="559"/>
      <c r="AV64" s="559"/>
      <c r="AW64" s="559"/>
      <c r="AX64" s="559"/>
      <c r="AY64" s="559"/>
      <c r="AZ64" s="559"/>
      <c r="BA64" s="559"/>
      <c r="BB64" s="559"/>
      <c r="BC64" s="559"/>
      <c r="BD64" s="559"/>
      <c r="BE64" s="559"/>
      <c r="BF64" s="559"/>
      <c r="BG64" s="559"/>
      <c r="BH64" s="559"/>
      <c r="BI64" s="559"/>
      <c r="BJ64" s="559"/>
    </row>
    <row r="65" spans="1:63" ht="12.95" customHeight="1">
      <c r="B65" s="560" t="s">
        <v>334</v>
      </c>
      <c r="C65" s="560"/>
      <c r="D65" s="560"/>
      <c r="E65" s="560"/>
      <c r="F65" s="560"/>
      <c r="G65" s="560"/>
      <c r="H65" s="560"/>
      <c r="I65" s="560"/>
      <c r="J65" s="560"/>
      <c r="K65" s="560"/>
      <c r="L65" s="560"/>
      <c r="M65" s="560"/>
      <c r="N65" s="560"/>
      <c r="O65" s="560"/>
      <c r="P65" s="560"/>
      <c r="Q65" s="560"/>
      <c r="R65" s="560"/>
      <c r="S65" s="560"/>
      <c r="T65" s="560"/>
      <c r="U65" s="560"/>
      <c r="V65" s="560"/>
      <c r="W65" s="560"/>
      <c r="X65" s="560"/>
      <c r="Y65" s="560"/>
      <c r="Z65" s="560"/>
      <c r="AA65" s="560"/>
      <c r="AB65" s="560"/>
      <c r="AC65" s="560"/>
      <c r="AD65" s="560"/>
      <c r="AE65" s="560"/>
      <c r="AF65" s="560"/>
      <c r="AG65" s="560"/>
      <c r="AH65" s="560"/>
      <c r="AI65" s="560"/>
      <c r="AJ65" s="560"/>
      <c r="AK65" s="560"/>
      <c r="AL65" s="560"/>
      <c r="AM65" s="560"/>
      <c r="AN65" s="560"/>
      <c r="AO65" s="560"/>
      <c r="AP65" s="560"/>
      <c r="AQ65" s="560"/>
      <c r="AR65" s="560"/>
      <c r="AS65" s="560"/>
      <c r="AT65" s="560"/>
      <c r="AU65" s="560"/>
      <c r="AV65" s="560"/>
      <c r="AW65" s="560"/>
      <c r="AX65" s="560"/>
      <c r="AY65" s="560"/>
      <c r="AZ65" s="560"/>
      <c r="BA65" s="560"/>
      <c r="BB65" s="560"/>
      <c r="BC65" s="560"/>
      <c r="BD65" s="560"/>
      <c r="BE65" s="560"/>
      <c r="BF65" s="560"/>
      <c r="BG65" s="560"/>
      <c r="BH65" s="560"/>
      <c r="BI65" s="560"/>
      <c r="BJ65" s="560"/>
    </row>
    <row r="66" spans="1:63" ht="12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97" t="s">
        <v>319</v>
      </c>
    </row>
    <row r="67" spans="1:63" ht="12.95" customHeight="1">
      <c r="B67" s="565" t="s">
        <v>1</v>
      </c>
      <c r="C67" s="561"/>
      <c r="D67" s="561"/>
      <c r="E67" s="561"/>
      <c r="F67" s="561"/>
      <c r="G67" s="561"/>
      <c r="H67" s="561"/>
      <c r="I67" s="561"/>
      <c r="J67" s="561"/>
      <c r="K67" s="561"/>
      <c r="L67" s="561"/>
      <c r="M67" s="561"/>
      <c r="N67" s="561"/>
      <c r="O67" s="561" t="s">
        <v>333</v>
      </c>
      <c r="P67" s="561"/>
      <c r="Q67" s="561"/>
      <c r="R67" s="561"/>
      <c r="S67" s="561"/>
      <c r="T67" s="561"/>
      <c r="U67" s="561"/>
      <c r="V67" s="561"/>
      <c r="W67" s="561"/>
      <c r="X67" s="561"/>
      <c r="Y67" s="561"/>
      <c r="Z67" s="561"/>
      <c r="AA67" s="561"/>
      <c r="AB67" s="561"/>
      <c r="AC67" s="561"/>
      <c r="AD67" s="561"/>
      <c r="AE67" s="561"/>
      <c r="AF67" s="561"/>
      <c r="AG67" s="561"/>
      <c r="AH67" s="561"/>
      <c r="AI67" s="561"/>
      <c r="AJ67" s="561"/>
      <c r="AK67" s="561"/>
      <c r="AL67" s="561"/>
      <c r="AM67" s="561"/>
      <c r="AN67" s="561"/>
      <c r="AO67" s="561"/>
      <c r="AP67" s="561"/>
      <c r="AQ67" s="561"/>
      <c r="AR67" s="561"/>
      <c r="AS67" s="561"/>
      <c r="AT67" s="561"/>
      <c r="AU67" s="561"/>
      <c r="AV67" s="561"/>
      <c r="AW67" s="561"/>
      <c r="AX67" s="561"/>
      <c r="AY67" s="561"/>
      <c r="AZ67" s="561"/>
      <c r="BA67" s="561"/>
      <c r="BB67" s="561"/>
      <c r="BC67" s="561"/>
      <c r="BD67" s="561"/>
      <c r="BE67" s="561"/>
      <c r="BF67" s="561"/>
      <c r="BG67" s="561"/>
      <c r="BH67" s="561"/>
      <c r="BI67" s="561"/>
      <c r="BJ67" s="579"/>
    </row>
    <row r="68" spans="1:63" ht="12.95" customHeight="1">
      <c r="B68" s="566"/>
      <c r="C68" s="562"/>
      <c r="D68" s="562"/>
      <c r="E68" s="562"/>
      <c r="F68" s="562"/>
      <c r="G68" s="562"/>
      <c r="H68" s="562"/>
      <c r="I68" s="562"/>
      <c r="J68" s="562"/>
      <c r="K68" s="562"/>
      <c r="L68" s="562"/>
      <c r="M68" s="562"/>
      <c r="N68" s="562"/>
      <c r="O68" s="562" t="s">
        <v>238</v>
      </c>
      <c r="P68" s="562"/>
      <c r="Q68" s="562"/>
      <c r="R68" s="562"/>
      <c r="S68" s="562"/>
      <c r="T68" s="562"/>
      <c r="U68" s="562"/>
      <c r="V68" s="562"/>
      <c r="W68" s="562"/>
      <c r="X68" s="562"/>
      <c r="Y68" s="562"/>
      <c r="Z68" s="562"/>
      <c r="AA68" s="562" t="s">
        <v>332</v>
      </c>
      <c r="AB68" s="562"/>
      <c r="AC68" s="562"/>
      <c r="AD68" s="562"/>
      <c r="AE68" s="562"/>
      <c r="AF68" s="562"/>
      <c r="AG68" s="562"/>
      <c r="AH68" s="562"/>
      <c r="AI68" s="562"/>
      <c r="AJ68" s="562"/>
      <c r="AK68" s="562"/>
      <c r="AL68" s="562"/>
      <c r="AM68" s="562" t="s">
        <v>331</v>
      </c>
      <c r="AN68" s="562"/>
      <c r="AO68" s="562"/>
      <c r="AP68" s="562"/>
      <c r="AQ68" s="562"/>
      <c r="AR68" s="562"/>
      <c r="AS68" s="562"/>
      <c r="AT68" s="562"/>
      <c r="AU68" s="562"/>
      <c r="AV68" s="562"/>
      <c r="AW68" s="562"/>
      <c r="AX68" s="562"/>
      <c r="AY68" s="562" t="s">
        <v>330</v>
      </c>
      <c r="AZ68" s="562"/>
      <c r="BA68" s="562"/>
      <c r="BB68" s="562"/>
      <c r="BC68" s="562"/>
      <c r="BD68" s="562"/>
      <c r="BE68" s="562"/>
      <c r="BF68" s="562"/>
      <c r="BG68" s="562"/>
      <c r="BH68" s="562"/>
      <c r="BI68" s="562"/>
      <c r="BJ68" s="580"/>
      <c r="BK68" s="64"/>
    </row>
    <row r="69" spans="1:63" ht="8.1" customHeight="1">
      <c r="B69" s="64"/>
      <c r="C69" s="68"/>
      <c r="D69" s="68"/>
      <c r="E69" s="68"/>
      <c r="F69" s="68"/>
      <c r="G69" s="64"/>
      <c r="H69" s="64"/>
      <c r="I69" s="64"/>
      <c r="J69" s="64"/>
      <c r="K69" s="64"/>
      <c r="L69" s="64"/>
      <c r="M69" s="64"/>
      <c r="N69" s="7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</row>
    <row r="70" spans="1:63" ht="12.95" customHeight="1">
      <c r="B70" s="64"/>
      <c r="C70" s="581" t="s">
        <v>162</v>
      </c>
      <c r="D70" s="581"/>
      <c r="E70" s="581"/>
      <c r="F70" s="581"/>
      <c r="G70" s="560">
        <v>20</v>
      </c>
      <c r="H70" s="560"/>
      <c r="I70" s="560"/>
      <c r="J70" s="581" t="s">
        <v>161</v>
      </c>
      <c r="K70" s="581"/>
      <c r="L70" s="581"/>
      <c r="M70" s="581"/>
      <c r="N70" s="76"/>
      <c r="O70" s="652">
        <v>178878</v>
      </c>
      <c r="P70" s="652"/>
      <c r="Q70" s="652"/>
      <c r="R70" s="652"/>
      <c r="S70" s="652"/>
      <c r="T70" s="652"/>
      <c r="U70" s="652"/>
      <c r="V70" s="652"/>
      <c r="W70" s="652"/>
      <c r="X70" s="652"/>
      <c r="Y70" s="652"/>
      <c r="Z70" s="652"/>
      <c r="AA70" s="652">
        <v>119117</v>
      </c>
      <c r="AB70" s="652"/>
      <c r="AC70" s="652"/>
      <c r="AD70" s="652"/>
      <c r="AE70" s="652"/>
      <c r="AF70" s="652"/>
      <c r="AG70" s="652"/>
      <c r="AH70" s="652"/>
      <c r="AI70" s="652"/>
      <c r="AJ70" s="652"/>
      <c r="AK70" s="652"/>
      <c r="AL70" s="652"/>
      <c r="AM70" s="652">
        <v>2908</v>
      </c>
      <c r="AN70" s="652"/>
      <c r="AO70" s="652"/>
      <c r="AP70" s="652"/>
      <c r="AQ70" s="652"/>
      <c r="AR70" s="652"/>
      <c r="AS70" s="652"/>
      <c r="AT70" s="652"/>
      <c r="AU70" s="652"/>
      <c r="AV70" s="652"/>
      <c r="AW70" s="652"/>
      <c r="AX70" s="652"/>
      <c r="AY70" s="652">
        <v>56853</v>
      </c>
      <c r="AZ70" s="652"/>
      <c r="BA70" s="652"/>
      <c r="BB70" s="652"/>
      <c r="BC70" s="652"/>
      <c r="BD70" s="652"/>
      <c r="BE70" s="652"/>
      <c r="BF70" s="652"/>
      <c r="BG70" s="652"/>
      <c r="BH70" s="652"/>
      <c r="BI70" s="652"/>
      <c r="BJ70" s="652"/>
    </row>
    <row r="71" spans="1:63" ht="12.95" customHeight="1">
      <c r="A71" s="72"/>
      <c r="B71" s="73"/>
      <c r="C71" s="64"/>
      <c r="D71" s="64"/>
      <c r="E71" s="68"/>
      <c r="F71" s="68"/>
      <c r="G71" s="560">
        <v>21</v>
      </c>
      <c r="H71" s="560"/>
      <c r="I71" s="560"/>
      <c r="J71" s="64"/>
      <c r="K71" s="64"/>
      <c r="L71" s="64"/>
      <c r="M71" s="64"/>
      <c r="N71" s="76"/>
      <c r="O71" s="652">
        <v>177439</v>
      </c>
      <c r="P71" s="652"/>
      <c r="Q71" s="652"/>
      <c r="R71" s="652"/>
      <c r="S71" s="652"/>
      <c r="T71" s="652"/>
      <c r="U71" s="652"/>
      <c r="V71" s="652"/>
      <c r="W71" s="652"/>
      <c r="X71" s="652"/>
      <c r="Y71" s="652"/>
      <c r="Z71" s="652"/>
      <c r="AA71" s="652">
        <v>118134</v>
      </c>
      <c r="AB71" s="652"/>
      <c r="AC71" s="652"/>
      <c r="AD71" s="652"/>
      <c r="AE71" s="652"/>
      <c r="AF71" s="652"/>
      <c r="AG71" s="652"/>
      <c r="AH71" s="652"/>
      <c r="AI71" s="652"/>
      <c r="AJ71" s="652"/>
      <c r="AK71" s="652"/>
      <c r="AL71" s="652"/>
      <c r="AM71" s="652">
        <v>2858</v>
      </c>
      <c r="AN71" s="652"/>
      <c r="AO71" s="652"/>
      <c r="AP71" s="652"/>
      <c r="AQ71" s="652"/>
      <c r="AR71" s="652"/>
      <c r="AS71" s="652"/>
      <c r="AT71" s="652"/>
      <c r="AU71" s="652"/>
      <c r="AV71" s="652"/>
      <c r="AW71" s="652"/>
      <c r="AX71" s="652"/>
      <c r="AY71" s="652">
        <v>56447</v>
      </c>
      <c r="AZ71" s="652"/>
      <c r="BA71" s="652"/>
      <c r="BB71" s="652"/>
      <c r="BC71" s="652"/>
      <c r="BD71" s="652"/>
      <c r="BE71" s="652"/>
      <c r="BF71" s="652"/>
      <c r="BG71" s="652"/>
      <c r="BH71" s="652"/>
      <c r="BI71" s="652"/>
      <c r="BJ71" s="652"/>
      <c r="BK71" s="72"/>
    </row>
    <row r="72" spans="1:63" ht="12.95" customHeight="1">
      <c r="B72" s="64"/>
      <c r="C72" s="64"/>
      <c r="D72" s="64"/>
      <c r="E72" s="68"/>
      <c r="F72" s="68"/>
      <c r="G72" s="560">
        <v>22</v>
      </c>
      <c r="H72" s="560"/>
      <c r="I72" s="560"/>
      <c r="J72" s="64"/>
      <c r="K72" s="64"/>
      <c r="L72" s="64"/>
      <c r="M72" s="64"/>
      <c r="N72" s="76"/>
      <c r="O72" s="652">
        <v>175565</v>
      </c>
      <c r="P72" s="652"/>
      <c r="Q72" s="652"/>
      <c r="R72" s="652"/>
      <c r="S72" s="652"/>
      <c r="T72" s="652"/>
      <c r="U72" s="652"/>
      <c r="V72" s="652"/>
      <c r="W72" s="652"/>
      <c r="X72" s="652"/>
      <c r="Y72" s="652"/>
      <c r="Z72" s="652"/>
      <c r="AA72" s="652">
        <v>116469</v>
      </c>
      <c r="AB72" s="652"/>
      <c r="AC72" s="652"/>
      <c r="AD72" s="652"/>
      <c r="AE72" s="652"/>
      <c r="AF72" s="652"/>
      <c r="AG72" s="652"/>
      <c r="AH72" s="652"/>
      <c r="AI72" s="652"/>
      <c r="AJ72" s="652"/>
      <c r="AK72" s="652"/>
      <c r="AL72" s="652"/>
      <c r="AM72" s="652">
        <v>2758</v>
      </c>
      <c r="AN72" s="652"/>
      <c r="AO72" s="652"/>
      <c r="AP72" s="652"/>
      <c r="AQ72" s="652"/>
      <c r="AR72" s="652"/>
      <c r="AS72" s="652"/>
      <c r="AT72" s="652"/>
      <c r="AU72" s="652"/>
      <c r="AV72" s="652"/>
      <c r="AW72" s="652"/>
      <c r="AX72" s="652"/>
      <c r="AY72" s="652">
        <v>56338</v>
      </c>
      <c r="AZ72" s="652"/>
      <c r="BA72" s="652"/>
      <c r="BB72" s="652"/>
      <c r="BC72" s="652"/>
      <c r="BD72" s="652"/>
      <c r="BE72" s="652"/>
      <c r="BF72" s="652"/>
      <c r="BG72" s="652"/>
      <c r="BH72" s="652"/>
      <c r="BI72" s="652"/>
      <c r="BJ72" s="652"/>
    </row>
    <row r="73" spans="1:63" ht="12.95" customHeight="1">
      <c r="B73" s="64"/>
      <c r="C73" s="64"/>
      <c r="D73" s="64"/>
      <c r="E73" s="68"/>
      <c r="F73" s="68"/>
      <c r="G73" s="560">
        <v>23</v>
      </c>
      <c r="H73" s="560"/>
      <c r="I73" s="560"/>
      <c r="J73" s="64"/>
      <c r="K73" s="64"/>
      <c r="L73" s="64"/>
      <c r="M73" s="64"/>
      <c r="N73" s="76"/>
      <c r="O73" s="652">
        <v>172501</v>
      </c>
      <c r="P73" s="652"/>
      <c r="Q73" s="652"/>
      <c r="R73" s="652"/>
      <c r="S73" s="652"/>
      <c r="T73" s="652"/>
      <c r="U73" s="652"/>
      <c r="V73" s="652"/>
      <c r="W73" s="652"/>
      <c r="X73" s="652"/>
      <c r="Y73" s="652"/>
      <c r="Z73" s="652"/>
      <c r="AA73" s="652">
        <v>114958</v>
      </c>
      <c r="AB73" s="652"/>
      <c r="AC73" s="652"/>
      <c r="AD73" s="652"/>
      <c r="AE73" s="652"/>
      <c r="AF73" s="652"/>
      <c r="AG73" s="652"/>
      <c r="AH73" s="652"/>
      <c r="AI73" s="652"/>
      <c r="AJ73" s="652"/>
      <c r="AK73" s="652"/>
      <c r="AL73" s="652"/>
      <c r="AM73" s="652">
        <v>2589</v>
      </c>
      <c r="AN73" s="652"/>
      <c r="AO73" s="652"/>
      <c r="AP73" s="652"/>
      <c r="AQ73" s="652"/>
      <c r="AR73" s="652"/>
      <c r="AS73" s="652"/>
      <c r="AT73" s="652"/>
      <c r="AU73" s="652"/>
      <c r="AV73" s="652"/>
      <c r="AW73" s="652"/>
      <c r="AX73" s="652"/>
      <c r="AY73" s="652">
        <v>54954</v>
      </c>
      <c r="AZ73" s="652"/>
      <c r="BA73" s="652"/>
      <c r="BB73" s="652"/>
      <c r="BC73" s="652"/>
      <c r="BD73" s="652"/>
      <c r="BE73" s="652"/>
      <c r="BF73" s="652"/>
      <c r="BG73" s="652"/>
      <c r="BH73" s="652"/>
      <c r="BI73" s="652"/>
      <c r="BJ73" s="652"/>
    </row>
    <row r="74" spans="1:63" s="72" customFormat="1" ht="12.95" customHeight="1">
      <c r="B74" s="73"/>
      <c r="C74" s="73"/>
      <c r="D74" s="73"/>
      <c r="E74" s="75"/>
      <c r="F74" s="75"/>
      <c r="G74" s="582">
        <v>24</v>
      </c>
      <c r="H74" s="582"/>
      <c r="I74" s="582"/>
      <c r="J74" s="73"/>
      <c r="K74" s="73"/>
      <c r="L74" s="73"/>
      <c r="M74" s="73"/>
      <c r="N74" s="74"/>
      <c r="O74" s="770">
        <f>SUM(AA74:BJ74)</f>
        <v>170343</v>
      </c>
      <c r="P74" s="770"/>
      <c r="Q74" s="770"/>
      <c r="R74" s="770"/>
      <c r="S74" s="770"/>
      <c r="T74" s="770"/>
      <c r="U74" s="770"/>
      <c r="V74" s="770"/>
      <c r="W74" s="770"/>
      <c r="X74" s="770"/>
      <c r="Y74" s="770"/>
      <c r="Z74" s="770"/>
      <c r="AA74" s="770">
        <v>113169</v>
      </c>
      <c r="AB74" s="770"/>
      <c r="AC74" s="770"/>
      <c r="AD74" s="770"/>
      <c r="AE74" s="770"/>
      <c r="AF74" s="770"/>
      <c r="AG74" s="770"/>
      <c r="AH74" s="770"/>
      <c r="AI74" s="770"/>
      <c r="AJ74" s="770"/>
      <c r="AK74" s="770"/>
      <c r="AL74" s="770"/>
      <c r="AM74" s="770">
        <v>2307</v>
      </c>
      <c r="AN74" s="770"/>
      <c r="AO74" s="770"/>
      <c r="AP74" s="770"/>
      <c r="AQ74" s="770"/>
      <c r="AR74" s="770"/>
      <c r="AS74" s="770"/>
      <c r="AT74" s="770"/>
      <c r="AU74" s="770"/>
      <c r="AV74" s="770"/>
      <c r="AW74" s="770"/>
      <c r="AX74" s="770"/>
      <c r="AY74" s="770">
        <v>54867</v>
      </c>
      <c r="AZ74" s="770"/>
      <c r="BA74" s="770"/>
      <c r="BB74" s="770"/>
      <c r="BC74" s="770"/>
      <c r="BD74" s="770"/>
      <c r="BE74" s="770"/>
      <c r="BF74" s="770"/>
      <c r="BG74" s="770"/>
      <c r="BH74" s="770"/>
      <c r="BI74" s="770"/>
      <c r="BJ74" s="770"/>
    </row>
    <row r="75" spans="1:63" ht="8.1" customHeight="1">
      <c r="B75" s="69"/>
      <c r="C75" s="69"/>
      <c r="D75" s="69"/>
      <c r="E75" s="71"/>
      <c r="F75" s="71"/>
      <c r="G75" s="71"/>
      <c r="H75" s="71"/>
      <c r="I75" s="69"/>
      <c r="J75" s="69"/>
      <c r="K75" s="69"/>
      <c r="L75" s="69"/>
      <c r="M75" s="69"/>
      <c r="N75" s="70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</row>
    <row r="76" spans="1:63" ht="12" customHeight="1">
      <c r="B76" s="577" t="s">
        <v>9</v>
      </c>
      <c r="C76" s="577"/>
      <c r="D76" s="577"/>
      <c r="E76" s="66" t="s">
        <v>170</v>
      </c>
      <c r="F76" s="61" t="s">
        <v>158</v>
      </c>
    </row>
    <row r="77" spans="1:63" ht="12.95" customHeight="1"/>
    <row r="114" spans="7:55" ht="12" customHeight="1">
      <c r="G114" s="63"/>
      <c r="H114" s="63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</row>
    <row r="115" spans="7:55" ht="12" customHeight="1">
      <c r="G115" s="63"/>
      <c r="H115" s="63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</row>
    <row r="116" spans="7:55" ht="12" customHeight="1">
      <c r="G116" s="63"/>
      <c r="H116" s="63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</row>
    <row r="117" spans="7:55" ht="12" customHeight="1">
      <c r="G117" s="63"/>
      <c r="H117" s="63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</row>
  </sheetData>
  <mergeCells count="290">
    <mergeCell ref="BA43:BB43"/>
    <mergeCell ref="BI43:BJ43"/>
    <mergeCell ref="B62:D62"/>
    <mergeCell ref="AE51:BB51"/>
    <mergeCell ref="AE59:AL59"/>
    <mergeCell ref="AM59:AT59"/>
    <mergeCell ref="AE60:AL60"/>
    <mergeCell ref="AM60:AT60"/>
    <mergeCell ref="AE56:AL56"/>
    <mergeCell ref="U54:V54"/>
    <mergeCell ref="AK54:AL54"/>
    <mergeCell ref="AS54:AT54"/>
    <mergeCell ref="BA54:BB54"/>
    <mergeCell ref="U43:V43"/>
    <mergeCell ref="AC43:AD43"/>
    <mergeCell ref="AK43:AL43"/>
    <mergeCell ref="AS43:AT43"/>
    <mergeCell ref="W49:AD49"/>
    <mergeCell ref="AE49:AL49"/>
    <mergeCell ref="C56:F56"/>
    <mergeCell ref="O51:AD51"/>
    <mergeCell ref="W52:AD53"/>
    <mergeCell ref="G56:I56"/>
    <mergeCell ref="J56:M56"/>
    <mergeCell ref="O56:V56"/>
    <mergeCell ref="O49:V49"/>
    <mergeCell ref="AE58:AL58"/>
    <mergeCell ref="AM58:AT58"/>
    <mergeCell ref="G58:I58"/>
    <mergeCell ref="O58:V58"/>
    <mergeCell ref="B76:D76"/>
    <mergeCell ref="AU47:BB47"/>
    <mergeCell ref="BC47:BJ47"/>
    <mergeCell ref="W48:AD48"/>
    <mergeCell ref="AE48:AL48"/>
    <mergeCell ref="AM48:AT48"/>
    <mergeCell ref="AU48:BB48"/>
    <mergeCell ref="BC48:BJ48"/>
    <mergeCell ref="AU49:BB49"/>
    <mergeCell ref="BC49:BJ49"/>
    <mergeCell ref="G57:I57"/>
    <mergeCell ref="O57:V57"/>
    <mergeCell ref="AM56:AT56"/>
    <mergeCell ref="AE57:AL57"/>
    <mergeCell ref="AM57:AT57"/>
    <mergeCell ref="AM49:AT49"/>
    <mergeCell ref="AC54:AD54"/>
    <mergeCell ref="W56:AD56"/>
    <mergeCell ref="W57:AD57"/>
    <mergeCell ref="B51:N53"/>
    <mergeCell ref="O52:V53"/>
    <mergeCell ref="AE52:AL53"/>
    <mergeCell ref="AM52:AT53"/>
    <mergeCell ref="G49:I49"/>
    <mergeCell ref="G73:I73"/>
    <mergeCell ref="O73:Z73"/>
    <mergeCell ref="AA73:AL73"/>
    <mergeCell ref="AM73:AX73"/>
    <mergeCell ref="B65:BJ65"/>
    <mergeCell ref="B67:N68"/>
    <mergeCell ref="O67:BJ67"/>
    <mergeCell ref="O68:Z68"/>
    <mergeCell ref="AA68:AL68"/>
    <mergeCell ref="AM68:AX68"/>
    <mergeCell ref="AY68:BJ68"/>
    <mergeCell ref="C70:F70"/>
    <mergeCell ref="G70:I70"/>
    <mergeCell ref="J70:M70"/>
    <mergeCell ref="O70:Z70"/>
    <mergeCell ref="AA70:AL70"/>
    <mergeCell ref="AM70:AX70"/>
    <mergeCell ref="AY70:BJ70"/>
    <mergeCell ref="AY73:BJ73"/>
    <mergeCell ref="G74:I74"/>
    <mergeCell ref="O74:Z74"/>
    <mergeCell ref="AA74:AL74"/>
    <mergeCell ref="AM74:AX74"/>
    <mergeCell ref="AY74:BJ74"/>
    <mergeCell ref="G71:I71"/>
    <mergeCell ref="O71:Z71"/>
    <mergeCell ref="AA71:AL71"/>
    <mergeCell ref="AM71:AX71"/>
    <mergeCell ref="AY71:BJ71"/>
    <mergeCell ref="G72:I72"/>
    <mergeCell ref="O72:Z72"/>
    <mergeCell ref="AA72:AL72"/>
    <mergeCell ref="AM72:AX72"/>
    <mergeCell ref="AY72:BJ72"/>
    <mergeCell ref="J45:M45"/>
    <mergeCell ref="B64:BJ64"/>
    <mergeCell ref="G59:I59"/>
    <mergeCell ref="O59:V59"/>
    <mergeCell ref="G60:I60"/>
    <mergeCell ref="O60:V60"/>
    <mergeCell ref="G45:I45"/>
    <mergeCell ref="G46:I46"/>
    <mergeCell ref="G47:I47"/>
    <mergeCell ref="W45:AD45"/>
    <mergeCell ref="AE45:AL45"/>
    <mergeCell ref="AM45:AT45"/>
    <mergeCell ref="AU45:BB45"/>
    <mergeCell ref="BC45:BJ45"/>
    <mergeCell ref="W46:AD46"/>
    <mergeCell ref="AE46:AL46"/>
    <mergeCell ref="AM46:AT46"/>
    <mergeCell ref="AU46:BB46"/>
    <mergeCell ref="BC46:BJ46"/>
    <mergeCell ref="W47:AD47"/>
    <mergeCell ref="AE47:AL47"/>
    <mergeCell ref="AM47:AT47"/>
    <mergeCell ref="W58:AD58"/>
    <mergeCell ref="AU52:BB53"/>
    <mergeCell ref="W59:AD59"/>
    <mergeCell ref="W60:AD60"/>
    <mergeCell ref="A1:S2"/>
    <mergeCell ref="AU56:BB56"/>
    <mergeCell ref="AU57:BB57"/>
    <mergeCell ref="AU58:BB58"/>
    <mergeCell ref="AU59:BB59"/>
    <mergeCell ref="AU60:BB60"/>
    <mergeCell ref="G48:I48"/>
    <mergeCell ref="B5:BJ5"/>
    <mergeCell ref="B40:N42"/>
    <mergeCell ref="O40:V40"/>
    <mergeCell ref="W40:BJ40"/>
    <mergeCell ref="O41:V42"/>
    <mergeCell ref="W41:AD42"/>
    <mergeCell ref="AE41:AL42"/>
    <mergeCell ref="AM41:AT42"/>
    <mergeCell ref="AU41:BB42"/>
    <mergeCell ref="BC41:BJ42"/>
    <mergeCell ref="O45:V45"/>
    <mergeCell ref="O46:V46"/>
    <mergeCell ref="O47:V47"/>
    <mergeCell ref="O48:V48"/>
    <mergeCell ref="C45:F45"/>
    <mergeCell ref="B7:N9"/>
    <mergeCell ref="O7:BJ7"/>
    <mergeCell ref="O8:V9"/>
    <mergeCell ref="W8:AD9"/>
    <mergeCell ref="AE8:AL9"/>
    <mergeCell ref="AM8:AT9"/>
    <mergeCell ref="AU8:BB9"/>
    <mergeCell ref="BC8:BJ9"/>
    <mergeCell ref="U10:V10"/>
    <mergeCell ref="AC10:AD10"/>
    <mergeCell ref="AK10:AL10"/>
    <mergeCell ref="AS10:AT10"/>
    <mergeCell ref="BA10:BB10"/>
    <mergeCell ref="BI10:BJ10"/>
    <mergeCell ref="C12:F12"/>
    <mergeCell ref="G12:I12"/>
    <mergeCell ref="J12:M12"/>
    <mergeCell ref="O12:V12"/>
    <mergeCell ref="W12:AD12"/>
    <mergeCell ref="AE12:AL12"/>
    <mergeCell ref="AM12:AT12"/>
    <mergeCell ref="AU12:BB12"/>
    <mergeCell ref="BC12:BJ12"/>
    <mergeCell ref="G13:I13"/>
    <mergeCell ref="O13:V13"/>
    <mergeCell ref="W13:AD13"/>
    <mergeCell ref="AE13:AL13"/>
    <mergeCell ref="AM13:AT13"/>
    <mergeCell ref="AU13:BB13"/>
    <mergeCell ref="BC13:BJ13"/>
    <mergeCell ref="G14:I14"/>
    <mergeCell ref="O14:V14"/>
    <mergeCell ref="W14:AD14"/>
    <mergeCell ref="AE14:AL14"/>
    <mergeCell ref="AM14:AT14"/>
    <mergeCell ref="AU14:BB14"/>
    <mergeCell ref="BC14:BJ14"/>
    <mergeCell ref="G15:I15"/>
    <mergeCell ref="O15:V15"/>
    <mergeCell ref="W15:AD15"/>
    <mergeCell ref="AE15:AL15"/>
    <mergeCell ref="AM15:AT15"/>
    <mergeCell ref="AU15:BB15"/>
    <mergeCell ref="BC15:BJ15"/>
    <mergeCell ref="G16:I16"/>
    <mergeCell ref="O16:V16"/>
    <mergeCell ref="W16:AD16"/>
    <mergeCell ref="AE16:AL16"/>
    <mergeCell ref="AM16:AT16"/>
    <mergeCell ref="AU16:BB16"/>
    <mergeCell ref="BC16:BJ16"/>
    <mergeCell ref="B18:N20"/>
    <mergeCell ref="O18:BJ18"/>
    <mergeCell ref="O19:V20"/>
    <mergeCell ref="W19:AD20"/>
    <mergeCell ref="AE19:AL20"/>
    <mergeCell ref="AM19:AT20"/>
    <mergeCell ref="AU19:BB20"/>
    <mergeCell ref="BC19:BJ20"/>
    <mergeCell ref="U21:V21"/>
    <mergeCell ref="AC21:AD21"/>
    <mergeCell ref="AK21:AL21"/>
    <mergeCell ref="AS21:AT21"/>
    <mergeCell ref="BA21:BB21"/>
    <mergeCell ref="BI21:BJ21"/>
    <mergeCell ref="C23:F23"/>
    <mergeCell ref="G23:I23"/>
    <mergeCell ref="J23:M23"/>
    <mergeCell ref="O23:V23"/>
    <mergeCell ref="W23:AD23"/>
    <mergeCell ref="AE23:AL23"/>
    <mergeCell ref="AM23:AT23"/>
    <mergeCell ref="AU23:BB23"/>
    <mergeCell ref="BC23:BJ23"/>
    <mergeCell ref="G24:I24"/>
    <mergeCell ref="O24:V24"/>
    <mergeCell ref="W24:AD24"/>
    <mergeCell ref="AE24:AL24"/>
    <mergeCell ref="AM24:AT24"/>
    <mergeCell ref="AU24:BB24"/>
    <mergeCell ref="BC24:BJ24"/>
    <mergeCell ref="G25:I25"/>
    <mergeCell ref="O25:V25"/>
    <mergeCell ref="W25:AD25"/>
    <mergeCell ref="AE25:AL25"/>
    <mergeCell ref="AM25:AT25"/>
    <mergeCell ref="AU25:BB25"/>
    <mergeCell ref="BC25:BJ25"/>
    <mergeCell ref="G26:I26"/>
    <mergeCell ref="O26:V26"/>
    <mergeCell ref="W26:AD26"/>
    <mergeCell ref="AE26:AL26"/>
    <mergeCell ref="AM26:AT26"/>
    <mergeCell ref="AU26:BB26"/>
    <mergeCell ref="BC26:BJ26"/>
    <mergeCell ref="G27:I27"/>
    <mergeCell ref="O27:V27"/>
    <mergeCell ref="W27:AD27"/>
    <mergeCell ref="AE27:AL27"/>
    <mergeCell ref="AM27:AT27"/>
    <mergeCell ref="AU27:BB27"/>
    <mergeCell ref="BC27:BJ27"/>
    <mergeCell ref="B29:N31"/>
    <mergeCell ref="O29:AD29"/>
    <mergeCell ref="AE29:BJ29"/>
    <mergeCell ref="O30:V31"/>
    <mergeCell ref="W30:AD31"/>
    <mergeCell ref="AE30:AL31"/>
    <mergeCell ref="AM30:AT31"/>
    <mergeCell ref="AU30:BB31"/>
    <mergeCell ref="BC30:BJ31"/>
    <mergeCell ref="U32:V32"/>
    <mergeCell ref="AC32:AD32"/>
    <mergeCell ref="AK32:AL32"/>
    <mergeCell ref="AS32:AT32"/>
    <mergeCell ref="BA32:BB32"/>
    <mergeCell ref="BI32:BJ32"/>
    <mergeCell ref="C34:F34"/>
    <mergeCell ref="G34:I34"/>
    <mergeCell ref="J34:M34"/>
    <mergeCell ref="O34:V34"/>
    <mergeCell ref="W34:AD34"/>
    <mergeCell ref="AE34:AL34"/>
    <mergeCell ref="AM34:AT34"/>
    <mergeCell ref="AU34:BB34"/>
    <mergeCell ref="BC34:BJ34"/>
    <mergeCell ref="G35:I35"/>
    <mergeCell ref="O35:V35"/>
    <mergeCell ref="W35:AD35"/>
    <mergeCell ref="AE35:AL35"/>
    <mergeCell ref="AM35:AT35"/>
    <mergeCell ref="AU35:BB35"/>
    <mergeCell ref="BC35:BJ35"/>
    <mergeCell ref="G36:I36"/>
    <mergeCell ref="O36:V36"/>
    <mergeCell ref="W36:AD36"/>
    <mergeCell ref="AE36:AL36"/>
    <mergeCell ref="AM36:AT36"/>
    <mergeCell ref="AU36:BB36"/>
    <mergeCell ref="BC36:BJ36"/>
    <mergeCell ref="G37:I37"/>
    <mergeCell ref="O37:V37"/>
    <mergeCell ref="W37:AD37"/>
    <mergeCell ref="AE37:AL37"/>
    <mergeCell ref="AM37:AT37"/>
    <mergeCell ref="AU37:BB37"/>
    <mergeCell ref="BC37:BJ37"/>
    <mergeCell ref="G38:I38"/>
    <mergeCell ref="O38:V38"/>
    <mergeCell ref="W38:AD38"/>
    <mergeCell ref="AE38:AL38"/>
    <mergeCell ref="AM38:AT38"/>
    <mergeCell ref="AU38:BB38"/>
    <mergeCell ref="BC38:BJ38"/>
  </mergeCells>
  <phoneticPr fontId="15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rowBreaks count="1" manualBreakCount="1">
    <brk id="110" max="6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K76"/>
  <sheetViews>
    <sheetView view="pageBreakPreview" zoomScaleNormal="100" zoomScaleSheetLayoutView="100" workbookViewId="0"/>
  </sheetViews>
  <sheetFormatPr defaultRowHeight="11.1" customHeight="1"/>
  <cols>
    <col min="1" max="1" width="1" style="61" customWidth="1"/>
    <col min="2" max="63" width="1.625" style="61" customWidth="1"/>
    <col min="64" max="64" width="9" style="61" customWidth="1"/>
    <col min="65" max="16384" width="9" style="61"/>
  </cols>
  <sheetData>
    <row r="1" spans="1:63" ht="11.1" customHeight="1"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570">
        <f>'198'!A1+1</f>
        <v>199</v>
      </c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</row>
    <row r="2" spans="1:63" ht="11.1" customHeight="1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</row>
    <row r="3" spans="1:63" ht="11.1" customHeight="1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</row>
    <row r="4" spans="1:63" ht="11.1" customHeight="1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</row>
    <row r="5" spans="1:63" ht="12.95" customHeight="1">
      <c r="B5" s="560" t="s">
        <v>329</v>
      </c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Z5" s="560"/>
      <c r="AA5" s="560"/>
      <c r="AB5" s="560"/>
      <c r="AC5" s="560"/>
      <c r="AD5" s="560"/>
      <c r="AE5" s="560"/>
      <c r="AF5" s="560"/>
      <c r="AG5" s="560"/>
      <c r="AH5" s="560"/>
      <c r="AI5" s="560"/>
      <c r="AJ5" s="560"/>
      <c r="AK5" s="560"/>
      <c r="AL5" s="560"/>
      <c r="AM5" s="560"/>
      <c r="AN5" s="560"/>
      <c r="AO5" s="560"/>
      <c r="AP5" s="560"/>
      <c r="AQ5" s="560"/>
      <c r="AR5" s="560"/>
      <c r="AS5" s="560"/>
      <c r="AT5" s="560"/>
      <c r="AU5" s="560"/>
      <c r="AV5" s="560"/>
      <c r="AW5" s="560"/>
      <c r="AX5" s="560"/>
      <c r="AY5" s="560"/>
      <c r="AZ5" s="560"/>
      <c r="BA5" s="560"/>
      <c r="BB5" s="560"/>
      <c r="BC5" s="560"/>
      <c r="BD5" s="560"/>
      <c r="BE5" s="560"/>
      <c r="BF5" s="560"/>
      <c r="BG5" s="560"/>
      <c r="BH5" s="560"/>
      <c r="BI5" s="560"/>
      <c r="BJ5" s="560"/>
    </row>
    <row r="6" spans="1:63" ht="12" customHeight="1">
      <c r="B6" s="69"/>
      <c r="C6" s="103"/>
      <c r="D6" s="103"/>
      <c r="E6" s="103"/>
      <c r="F6" s="103"/>
      <c r="G6" s="71"/>
      <c r="H6" s="71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97" t="s">
        <v>319</v>
      </c>
      <c r="BK6" s="96"/>
    </row>
    <row r="7" spans="1:63" ht="12.95" customHeight="1">
      <c r="B7" s="565" t="s">
        <v>1</v>
      </c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 t="s">
        <v>328</v>
      </c>
      <c r="P7" s="561"/>
      <c r="Q7" s="561"/>
      <c r="R7" s="561"/>
      <c r="S7" s="561"/>
      <c r="T7" s="561"/>
      <c r="U7" s="561" t="s">
        <v>327</v>
      </c>
      <c r="V7" s="561"/>
      <c r="W7" s="561"/>
      <c r="X7" s="561"/>
      <c r="Y7" s="561"/>
      <c r="Z7" s="561"/>
      <c r="AA7" s="561" t="s">
        <v>326</v>
      </c>
      <c r="AB7" s="561"/>
      <c r="AC7" s="561"/>
      <c r="AD7" s="561"/>
      <c r="AE7" s="561"/>
      <c r="AF7" s="561"/>
      <c r="AG7" s="561" t="s">
        <v>325</v>
      </c>
      <c r="AH7" s="561"/>
      <c r="AI7" s="561"/>
      <c r="AJ7" s="561"/>
      <c r="AK7" s="561"/>
      <c r="AL7" s="561"/>
      <c r="AM7" s="561" t="s">
        <v>324</v>
      </c>
      <c r="AN7" s="561"/>
      <c r="AO7" s="561"/>
      <c r="AP7" s="561"/>
      <c r="AQ7" s="561"/>
      <c r="AR7" s="561"/>
      <c r="AS7" s="561" t="s">
        <v>323</v>
      </c>
      <c r="AT7" s="561"/>
      <c r="AU7" s="561"/>
      <c r="AV7" s="561"/>
      <c r="AW7" s="561"/>
      <c r="AX7" s="561"/>
      <c r="AY7" s="561" t="s">
        <v>322</v>
      </c>
      <c r="AZ7" s="561"/>
      <c r="BA7" s="561"/>
      <c r="BB7" s="561"/>
      <c r="BC7" s="561"/>
      <c r="BD7" s="561"/>
      <c r="BE7" s="561" t="s">
        <v>321</v>
      </c>
      <c r="BF7" s="561"/>
      <c r="BG7" s="561"/>
      <c r="BH7" s="561"/>
      <c r="BI7" s="561"/>
      <c r="BJ7" s="579"/>
      <c r="BK7" s="64"/>
    </row>
    <row r="8" spans="1:63" ht="8.1" customHeight="1">
      <c r="B8" s="64"/>
      <c r="C8" s="68"/>
      <c r="D8" s="68"/>
      <c r="E8" s="68"/>
      <c r="F8" s="68"/>
      <c r="G8" s="64"/>
      <c r="H8" s="64"/>
      <c r="I8" s="64"/>
      <c r="J8" s="64"/>
      <c r="K8" s="64"/>
      <c r="L8" s="64"/>
      <c r="M8" s="64"/>
      <c r="N8" s="78"/>
      <c r="O8" s="64"/>
      <c r="P8" s="64"/>
      <c r="Q8" s="64"/>
      <c r="R8" s="64"/>
      <c r="S8" s="64"/>
      <c r="T8" s="64"/>
      <c r="U8" s="64"/>
      <c r="V8" s="64"/>
    </row>
    <row r="9" spans="1:63" ht="12.95" customHeight="1">
      <c r="B9" s="64"/>
      <c r="C9" s="581" t="s">
        <v>162</v>
      </c>
      <c r="D9" s="581"/>
      <c r="E9" s="581"/>
      <c r="F9" s="581"/>
      <c r="G9" s="560">
        <v>20</v>
      </c>
      <c r="H9" s="560"/>
      <c r="I9" s="560"/>
      <c r="J9" s="581" t="s">
        <v>161</v>
      </c>
      <c r="K9" s="581"/>
      <c r="L9" s="581"/>
      <c r="M9" s="581"/>
      <c r="N9" s="76"/>
      <c r="O9" s="652">
        <v>6898</v>
      </c>
      <c r="P9" s="652"/>
      <c r="Q9" s="652"/>
      <c r="R9" s="652"/>
      <c r="S9" s="652"/>
      <c r="T9" s="652"/>
      <c r="U9" s="652">
        <v>5793</v>
      </c>
      <c r="V9" s="652"/>
      <c r="W9" s="652"/>
      <c r="X9" s="652"/>
      <c r="Y9" s="652"/>
      <c r="Z9" s="652"/>
      <c r="AA9" s="652">
        <v>100315</v>
      </c>
      <c r="AB9" s="652"/>
      <c r="AC9" s="652"/>
      <c r="AD9" s="652"/>
      <c r="AE9" s="652"/>
      <c r="AF9" s="652"/>
      <c r="AG9" s="652">
        <v>265</v>
      </c>
      <c r="AH9" s="652"/>
      <c r="AI9" s="652"/>
      <c r="AJ9" s="652"/>
      <c r="AK9" s="652"/>
      <c r="AL9" s="652"/>
      <c r="AM9" s="652">
        <v>1568</v>
      </c>
      <c r="AN9" s="652"/>
      <c r="AO9" s="652"/>
      <c r="AP9" s="652"/>
      <c r="AQ9" s="652"/>
      <c r="AR9" s="652"/>
      <c r="AS9" s="652">
        <v>237</v>
      </c>
      <c r="AT9" s="652"/>
      <c r="AU9" s="652"/>
      <c r="AV9" s="652"/>
      <c r="AW9" s="652"/>
      <c r="AX9" s="652"/>
      <c r="AY9" s="652">
        <v>108</v>
      </c>
      <c r="AZ9" s="652"/>
      <c r="BA9" s="652"/>
      <c r="BB9" s="652"/>
      <c r="BC9" s="652"/>
      <c r="BD9" s="652"/>
      <c r="BE9" s="652">
        <v>189</v>
      </c>
      <c r="BF9" s="652"/>
      <c r="BG9" s="652"/>
      <c r="BH9" s="652"/>
      <c r="BI9" s="652"/>
      <c r="BJ9" s="652"/>
    </row>
    <row r="10" spans="1:63" ht="12.95" customHeight="1">
      <c r="A10" s="72"/>
      <c r="B10" s="73"/>
      <c r="C10" s="64"/>
      <c r="D10" s="64"/>
      <c r="E10" s="68"/>
      <c r="F10" s="68"/>
      <c r="G10" s="560">
        <v>21</v>
      </c>
      <c r="H10" s="560"/>
      <c r="I10" s="560"/>
      <c r="J10" s="64"/>
      <c r="K10" s="64"/>
      <c r="L10" s="64"/>
      <c r="M10" s="64"/>
      <c r="N10" s="76"/>
      <c r="O10" s="652">
        <v>6327</v>
      </c>
      <c r="P10" s="652"/>
      <c r="Q10" s="652"/>
      <c r="R10" s="652"/>
      <c r="S10" s="652"/>
      <c r="T10" s="652"/>
      <c r="U10" s="652">
        <v>5504</v>
      </c>
      <c r="V10" s="652"/>
      <c r="W10" s="652"/>
      <c r="X10" s="652"/>
      <c r="Y10" s="652"/>
      <c r="Z10" s="652"/>
      <c r="AA10" s="652">
        <v>104939</v>
      </c>
      <c r="AB10" s="652"/>
      <c r="AC10" s="652"/>
      <c r="AD10" s="652"/>
      <c r="AE10" s="652"/>
      <c r="AF10" s="652"/>
      <c r="AG10" s="652">
        <v>252</v>
      </c>
      <c r="AH10" s="652"/>
      <c r="AI10" s="652"/>
      <c r="AJ10" s="652"/>
      <c r="AK10" s="652"/>
      <c r="AL10" s="652"/>
      <c r="AM10" s="652">
        <v>1742</v>
      </c>
      <c r="AN10" s="652"/>
      <c r="AO10" s="652"/>
      <c r="AP10" s="652"/>
      <c r="AQ10" s="652"/>
      <c r="AR10" s="652"/>
      <c r="AS10" s="652">
        <v>229</v>
      </c>
      <c r="AT10" s="652"/>
      <c r="AU10" s="652"/>
      <c r="AV10" s="652"/>
      <c r="AW10" s="652"/>
      <c r="AX10" s="652"/>
      <c r="AY10" s="652">
        <v>97</v>
      </c>
      <c r="AZ10" s="652"/>
      <c r="BA10" s="652"/>
      <c r="BB10" s="652"/>
      <c r="BC10" s="652"/>
      <c r="BD10" s="652"/>
      <c r="BE10" s="652">
        <v>157</v>
      </c>
      <c r="BF10" s="652"/>
      <c r="BG10" s="652"/>
      <c r="BH10" s="652"/>
      <c r="BI10" s="652"/>
      <c r="BJ10" s="652"/>
      <c r="BK10" s="72"/>
    </row>
    <row r="11" spans="1:63" ht="12.95" customHeight="1">
      <c r="B11" s="64"/>
      <c r="C11" s="64"/>
      <c r="D11" s="64"/>
      <c r="E11" s="68"/>
      <c r="F11" s="68"/>
      <c r="G11" s="560">
        <v>22</v>
      </c>
      <c r="H11" s="560"/>
      <c r="I11" s="560"/>
      <c r="J11" s="64"/>
      <c r="K11" s="64"/>
      <c r="L11" s="64"/>
      <c r="M11" s="64"/>
      <c r="N11" s="76"/>
      <c r="O11" s="652">
        <v>5787</v>
      </c>
      <c r="P11" s="652"/>
      <c r="Q11" s="652"/>
      <c r="R11" s="652"/>
      <c r="S11" s="652"/>
      <c r="T11" s="652"/>
      <c r="U11" s="652">
        <v>5151</v>
      </c>
      <c r="V11" s="652"/>
      <c r="W11" s="652"/>
      <c r="X11" s="652"/>
      <c r="Y11" s="652"/>
      <c r="Z11" s="652"/>
      <c r="AA11" s="652">
        <v>108506</v>
      </c>
      <c r="AB11" s="652"/>
      <c r="AC11" s="652"/>
      <c r="AD11" s="652"/>
      <c r="AE11" s="652"/>
      <c r="AF11" s="652"/>
      <c r="AG11" s="652">
        <v>246</v>
      </c>
      <c r="AH11" s="652"/>
      <c r="AI11" s="652"/>
      <c r="AJ11" s="652"/>
      <c r="AK11" s="652"/>
      <c r="AL11" s="652"/>
      <c r="AM11" s="652">
        <v>1731</v>
      </c>
      <c r="AN11" s="652"/>
      <c r="AO11" s="652"/>
      <c r="AP11" s="652"/>
      <c r="AQ11" s="652"/>
      <c r="AR11" s="652"/>
      <c r="AS11" s="652">
        <v>291</v>
      </c>
      <c r="AT11" s="652"/>
      <c r="AU11" s="652"/>
      <c r="AV11" s="652"/>
      <c r="AW11" s="652"/>
      <c r="AX11" s="652"/>
      <c r="AY11" s="652">
        <v>90</v>
      </c>
      <c r="AZ11" s="652"/>
      <c r="BA11" s="652"/>
      <c r="BB11" s="652"/>
      <c r="BC11" s="652"/>
      <c r="BD11" s="652"/>
      <c r="BE11" s="652">
        <v>146</v>
      </c>
      <c r="BF11" s="652"/>
      <c r="BG11" s="652"/>
      <c r="BH11" s="652"/>
      <c r="BI11" s="652"/>
      <c r="BJ11" s="652"/>
    </row>
    <row r="12" spans="1:63" ht="12.95" customHeight="1">
      <c r="B12" s="64"/>
      <c r="C12" s="64"/>
      <c r="D12" s="64"/>
      <c r="E12" s="68"/>
      <c r="F12" s="68"/>
      <c r="G12" s="560">
        <v>23</v>
      </c>
      <c r="H12" s="560"/>
      <c r="I12" s="560"/>
      <c r="J12" s="64"/>
      <c r="K12" s="64"/>
      <c r="L12" s="64"/>
      <c r="M12" s="64"/>
      <c r="N12" s="76"/>
      <c r="O12" s="652">
        <v>5205</v>
      </c>
      <c r="P12" s="652"/>
      <c r="Q12" s="652"/>
      <c r="R12" s="652"/>
      <c r="S12" s="652"/>
      <c r="T12" s="652"/>
      <c r="U12" s="652">
        <v>4721</v>
      </c>
      <c r="V12" s="652"/>
      <c r="W12" s="652"/>
      <c r="X12" s="652"/>
      <c r="Y12" s="652"/>
      <c r="Z12" s="652"/>
      <c r="AA12" s="652">
        <v>112636</v>
      </c>
      <c r="AB12" s="652"/>
      <c r="AC12" s="652"/>
      <c r="AD12" s="652"/>
      <c r="AE12" s="652"/>
      <c r="AF12" s="652"/>
      <c r="AG12" s="652">
        <v>226</v>
      </c>
      <c r="AH12" s="652"/>
      <c r="AI12" s="652"/>
      <c r="AJ12" s="652"/>
      <c r="AK12" s="652"/>
      <c r="AL12" s="652"/>
      <c r="AM12" s="652">
        <v>1798</v>
      </c>
      <c r="AN12" s="652"/>
      <c r="AO12" s="652"/>
      <c r="AP12" s="652"/>
      <c r="AQ12" s="652"/>
      <c r="AR12" s="652"/>
      <c r="AS12" s="652">
        <v>256</v>
      </c>
      <c r="AT12" s="652"/>
      <c r="AU12" s="652"/>
      <c r="AV12" s="652"/>
      <c r="AW12" s="652"/>
      <c r="AX12" s="652"/>
      <c r="AY12" s="652">
        <v>82</v>
      </c>
      <c r="AZ12" s="652"/>
      <c r="BA12" s="652"/>
      <c r="BB12" s="652"/>
      <c r="BC12" s="652"/>
      <c r="BD12" s="652"/>
      <c r="BE12" s="652">
        <v>148</v>
      </c>
      <c r="BF12" s="652"/>
      <c r="BG12" s="652"/>
      <c r="BH12" s="652"/>
      <c r="BI12" s="652"/>
      <c r="BJ12" s="652"/>
    </row>
    <row r="13" spans="1:63" s="72" customFormat="1" ht="12.95" customHeight="1">
      <c r="B13" s="73"/>
      <c r="C13" s="73"/>
      <c r="D13" s="73"/>
      <c r="E13" s="75"/>
      <c r="F13" s="75"/>
      <c r="G13" s="582">
        <v>24</v>
      </c>
      <c r="H13" s="582"/>
      <c r="I13" s="582"/>
      <c r="J13" s="73"/>
      <c r="K13" s="73"/>
      <c r="L13" s="73"/>
      <c r="M13" s="73"/>
      <c r="N13" s="74"/>
      <c r="O13" s="770">
        <v>4594</v>
      </c>
      <c r="P13" s="770"/>
      <c r="Q13" s="770"/>
      <c r="R13" s="770"/>
      <c r="S13" s="770"/>
      <c r="T13" s="770"/>
      <c r="U13" s="770">
        <v>4269</v>
      </c>
      <c r="V13" s="770"/>
      <c r="W13" s="770"/>
      <c r="X13" s="770"/>
      <c r="Y13" s="770"/>
      <c r="Z13" s="770"/>
      <c r="AA13" s="770">
        <v>118214</v>
      </c>
      <c r="AB13" s="770"/>
      <c r="AC13" s="770"/>
      <c r="AD13" s="770"/>
      <c r="AE13" s="770"/>
      <c r="AF13" s="770"/>
      <c r="AG13" s="770">
        <v>203</v>
      </c>
      <c r="AH13" s="770"/>
      <c r="AI13" s="770"/>
      <c r="AJ13" s="770"/>
      <c r="AK13" s="770"/>
      <c r="AL13" s="770"/>
      <c r="AM13" s="770">
        <v>1855</v>
      </c>
      <c r="AN13" s="770"/>
      <c r="AO13" s="770"/>
      <c r="AP13" s="770"/>
      <c r="AQ13" s="770"/>
      <c r="AR13" s="770"/>
      <c r="AS13" s="770">
        <v>225</v>
      </c>
      <c r="AT13" s="770"/>
      <c r="AU13" s="770"/>
      <c r="AV13" s="770"/>
      <c r="AW13" s="770"/>
      <c r="AX13" s="770"/>
      <c r="AY13" s="770">
        <v>67</v>
      </c>
      <c r="AZ13" s="770"/>
      <c r="BA13" s="770"/>
      <c r="BB13" s="770"/>
      <c r="BC13" s="770"/>
      <c r="BD13" s="770"/>
      <c r="BE13" s="770">
        <v>139</v>
      </c>
      <c r="BF13" s="770"/>
      <c r="BG13" s="770"/>
      <c r="BH13" s="770"/>
      <c r="BI13" s="770"/>
      <c r="BJ13" s="770"/>
    </row>
    <row r="14" spans="1:63" ht="8.1" customHeight="1">
      <c r="B14" s="69"/>
      <c r="C14" s="69"/>
      <c r="D14" s="69"/>
      <c r="E14" s="71"/>
      <c r="F14" s="71"/>
      <c r="G14" s="71"/>
      <c r="H14" s="71"/>
      <c r="I14" s="69"/>
      <c r="J14" s="69"/>
      <c r="K14" s="69"/>
      <c r="L14" s="69"/>
      <c r="M14" s="69"/>
      <c r="N14" s="70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</row>
    <row r="15" spans="1:63" ht="12" customHeight="1">
      <c r="B15" s="778" t="s">
        <v>9</v>
      </c>
      <c r="C15" s="778"/>
      <c r="D15" s="778"/>
      <c r="E15" s="102" t="s">
        <v>170</v>
      </c>
      <c r="F15" s="95" t="s">
        <v>158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</row>
    <row r="16" spans="1:63" ht="12.95" customHeight="1"/>
    <row r="17" spans="1:63" ht="12.95" customHeight="1">
      <c r="B17" s="560" t="s">
        <v>320</v>
      </c>
      <c r="C17" s="560"/>
      <c r="D17" s="560"/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60"/>
      <c r="W17" s="560"/>
      <c r="X17" s="560"/>
      <c r="Y17" s="560"/>
      <c r="Z17" s="560"/>
      <c r="AA17" s="560"/>
      <c r="AB17" s="560"/>
      <c r="AC17" s="560"/>
      <c r="AD17" s="560"/>
      <c r="AE17" s="560"/>
      <c r="AF17" s="560"/>
      <c r="AG17" s="560"/>
      <c r="AH17" s="560"/>
      <c r="AI17" s="560"/>
      <c r="AJ17" s="560"/>
      <c r="AK17" s="560"/>
      <c r="AL17" s="560"/>
      <c r="AM17" s="560"/>
      <c r="AN17" s="560"/>
      <c r="AO17" s="560"/>
      <c r="AP17" s="560"/>
      <c r="AQ17" s="560"/>
      <c r="AR17" s="560"/>
      <c r="AS17" s="560"/>
      <c r="AT17" s="560"/>
      <c r="AU17" s="560"/>
      <c r="AV17" s="560"/>
      <c r="AW17" s="560"/>
      <c r="AX17" s="560"/>
      <c r="AY17" s="560"/>
      <c r="AZ17" s="560"/>
      <c r="BA17" s="560"/>
      <c r="BB17" s="560"/>
      <c r="BC17" s="560"/>
      <c r="BD17" s="560"/>
      <c r="BE17" s="560"/>
      <c r="BF17" s="560"/>
      <c r="BG17" s="560"/>
      <c r="BH17" s="560"/>
      <c r="BI17" s="560"/>
      <c r="BJ17" s="560"/>
    </row>
    <row r="18" spans="1:63" ht="12" customHeight="1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97" t="s">
        <v>319</v>
      </c>
    </row>
    <row r="19" spans="1:63" ht="12.95" customHeight="1">
      <c r="B19" s="565" t="s">
        <v>1</v>
      </c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561" t="s">
        <v>318</v>
      </c>
      <c r="P19" s="561"/>
      <c r="Q19" s="561"/>
      <c r="R19" s="561"/>
      <c r="S19" s="561"/>
      <c r="T19" s="561"/>
      <c r="U19" s="561"/>
      <c r="V19" s="561"/>
      <c r="W19" s="561"/>
      <c r="X19" s="561"/>
      <c r="Y19" s="561"/>
      <c r="Z19" s="561"/>
      <c r="AA19" s="561"/>
      <c r="AB19" s="561"/>
      <c r="AC19" s="561"/>
      <c r="AD19" s="561"/>
      <c r="AE19" s="561"/>
      <c r="AF19" s="561"/>
      <c r="AG19" s="561"/>
      <c r="AH19" s="561"/>
      <c r="AI19" s="561"/>
      <c r="AJ19" s="561"/>
      <c r="AK19" s="561"/>
      <c r="AL19" s="561"/>
      <c r="AM19" s="561" t="s">
        <v>317</v>
      </c>
      <c r="AN19" s="561"/>
      <c r="AO19" s="561"/>
      <c r="AP19" s="561"/>
      <c r="AQ19" s="561"/>
      <c r="AR19" s="561"/>
      <c r="AS19" s="561"/>
      <c r="AT19" s="561"/>
      <c r="AU19" s="561"/>
      <c r="AV19" s="561"/>
      <c r="AW19" s="561"/>
      <c r="AX19" s="561"/>
      <c r="AY19" s="561"/>
      <c r="AZ19" s="561"/>
      <c r="BA19" s="561"/>
      <c r="BB19" s="561"/>
      <c r="BC19" s="561"/>
      <c r="BD19" s="561"/>
      <c r="BE19" s="561"/>
      <c r="BF19" s="561"/>
      <c r="BG19" s="561"/>
      <c r="BH19" s="561"/>
      <c r="BI19" s="561"/>
      <c r="BJ19" s="579"/>
    </row>
    <row r="20" spans="1:63" ht="12.95" customHeight="1">
      <c r="B20" s="566"/>
      <c r="C20" s="562"/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562"/>
      <c r="O20" s="562" t="s">
        <v>238</v>
      </c>
      <c r="P20" s="562"/>
      <c r="Q20" s="562"/>
      <c r="R20" s="562"/>
      <c r="S20" s="562"/>
      <c r="T20" s="562"/>
      <c r="U20" s="562" t="s">
        <v>311</v>
      </c>
      <c r="V20" s="562"/>
      <c r="W20" s="562"/>
      <c r="X20" s="562"/>
      <c r="Y20" s="562"/>
      <c r="Z20" s="562"/>
      <c r="AA20" s="562" t="s">
        <v>310</v>
      </c>
      <c r="AB20" s="562"/>
      <c r="AC20" s="562"/>
      <c r="AD20" s="562"/>
      <c r="AE20" s="562"/>
      <c r="AF20" s="562"/>
      <c r="AG20" s="562" t="s">
        <v>309</v>
      </c>
      <c r="AH20" s="562"/>
      <c r="AI20" s="562"/>
      <c r="AJ20" s="562"/>
      <c r="AK20" s="562"/>
      <c r="AL20" s="562"/>
      <c r="AM20" s="562" t="s">
        <v>238</v>
      </c>
      <c r="AN20" s="562"/>
      <c r="AO20" s="562"/>
      <c r="AP20" s="562"/>
      <c r="AQ20" s="562"/>
      <c r="AR20" s="562"/>
      <c r="AS20" s="562" t="s">
        <v>316</v>
      </c>
      <c r="AT20" s="562"/>
      <c r="AU20" s="562"/>
      <c r="AV20" s="562"/>
      <c r="AW20" s="562"/>
      <c r="AX20" s="562"/>
      <c r="AY20" s="562" t="s">
        <v>315</v>
      </c>
      <c r="AZ20" s="562"/>
      <c r="BA20" s="562"/>
      <c r="BB20" s="562"/>
      <c r="BC20" s="562"/>
      <c r="BD20" s="562"/>
      <c r="BE20" s="562" t="s">
        <v>314</v>
      </c>
      <c r="BF20" s="562"/>
      <c r="BG20" s="562"/>
      <c r="BH20" s="562"/>
      <c r="BI20" s="562"/>
      <c r="BJ20" s="580"/>
    </row>
    <row r="21" spans="1:63" ht="8.1" customHeight="1">
      <c r="B21" s="64"/>
      <c r="C21" s="68"/>
      <c r="D21" s="68"/>
      <c r="E21" s="68"/>
      <c r="F21" s="68"/>
      <c r="G21" s="64"/>
      <c r="H21" s="64"/>
      <c r="I21" s="64"/>
      <c r="J21" s="64"/>
      <c r="K21" s="64"/>
      <c r="L21" s="64"/>
      <c r="M21" s="64"/>
      <c r="N21" s="7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</row>
    <row r="22" spans="1:63" ht="12.95" customHeight="1">
      <c r="B22" s="64"/>
      <c r="C22" s="581" t="s">
        <v>162</v>
      </c>
      <c r="D22" s="581"/>
      <c r="E22" s="581"/>
      <c r="F22" s="581"/>
      <c r="G22" s="560">
        <v>20</v>
      </c>
      <c r="H22" s="560"/>
      <c r="I22" s="560"/>
      <c r="J22" s="581" t="s">
        <v>161</v>
      </c>
      <c r="K22" s="581"/>
      <c r="L22" s="581"/>
      <c r="M22" s="581"/>
      <c r="N22" s="76"/>
      <c r="O22" s="651">
        <v>4254</v>
      </c>
      <c r="P22" s="651"/>
      <c r="Q22" s="651"/>
      <c r="R22" s="651"/>
      <c r="S22" s="651"/>
      <c r="T22" s="651"/>
      <c r="U22" s="651">
        <v>88</v>
      </c>
      <c r="V22" s="651"/>
      <c r="W22" s="651"/>
      <c r="X22" s="651"/>
      <c r="Y22" s="651"/>
      <c r="Z22" s="651"/>
      <c r="AA22" s="651">
        <v>4166</v>
      </c>
      <c r="AB22" s="651"/>
      <c r="AC22" s="651"/>
      <c r="AD22" s="651"/>
      <c r="AE22" s="651"/>
      <c r="AF22" s="651"/>
      <c r="AG22" s="651">
        <v>0</v>
      </c>
      <c r="AH22" s="651"/>
      <c r="AI22" s="651"/>
      <c r="AJ22" s="651"/>
      <c r="AK22" s="651"/>
      <c r="AL22" s="651"/>
      <c r="AM22" s="651">
        <v>3969</v>
      </c>
      <c r="AN22" s="651"/>
      <c r="AO22" s="651"/>
      <c r="AP22" s="651"/>
      <c r="AQ22" s="651"/>
      <c r="AR22" s="651"/>
      <c r="AS22" s="651">
        <v>37</v>
      </c>
      <c r="AT22" s="651"/>
      <c r="AU22" s="651"/>
      <c r="AV22" s="651"/>
      <c r="AW22" s="651"/>
      <c r="AX22" s="651"/>
      <c r="AY22" s="651">
        <v>3932</v>
      </c>
      <c r="AZ22" s="651"/>
      <c r="BA22" s="651"/>
      <c r="BB22" s="651"/>
      <c r="BC22" s="651"/>
      <c r="BD22" s="651"/>
      <c r="BE22" s="651">
        <v>0</v>
      </c>
      <c r="BF22" s="651"/>
      <c r="BG22" s="651"/>
      <c r="BH22" s="651"/>
      <c r="BI22" s="651"/>
      <c r="BJ22" s="651"/>
    </row>
    <row r="23" spans="1:63" ht="12.95" customHeight="1">
      <c r="A23" s="72"/>
      <c r="B23" s="64"/>
      <c r="C23" s="64"/>
      <c r="D23" s="64"/>
      <c r="E23" s="68"/>
      <c r="F23" s="68"/>
      <c r="G23" s="560">
        <v>21</v>
      </c>
      <c r="H23" s="560"/>
      <c r="I23" s="560"/>
      <c r="J23" s="64"/>
      <c r="K23" s="64"/>
      <c r="L23" s="64"/>
      <c r="M23" s="64"/>
      <c r="N23" s="76"/>
      <c r="O23" s="651">
        <v>4450</v>
      </c>
      <c r="P23" s="651"/>
      <c r="Q23" s="651"/>
      <c r="R23" s="651"/>
      <c r="S23" s="651"/>
      <c r="T23" s="651"/>
      <c r="U23" s="651">
        <v>70</v>
      </c>
      <c r="V23" s="651"/>
      <c r="W23" s="651"/>
      <c r="X23" s="651"/>
      <c r="Y23" s="651"/>
      <c r="Z23" s="651"/>
      <c r="AA23" s="651">
        <v>4380</v>
      </c>
      <c r="AB23" s="651"/>
      <c r="AC23" s="651"/>
      <c r="AD23" s="651"/>
      <c r="AE23" s="651"/>
      <c r="AF23" s="651"/>
      <c r="AG23" s="651">
        <v>0</v>
      </c>
      <c r="AH23" s="651"/>
      <c r="AI23" s="651"/>
      <c r="AJ23" s="651"/>
      <c r="AK23" s="651"/>
      <c r="AL23" s="651"/>
      <c r="AM23" s="651">
        <v>4161</v>
      </c>
      <c r="AN23" s="651"/>
      <c r="AO23" s="651"/>
      <c r="AP23" s="651"/>
      <c r="AQ23" s="651"/>
      <c r="AR23" s="651"/>
      <c r="AS23" s="651">
        <v>26</v>
      </c>
      <c r="AT23" s="651"/>
      <c r="AU23" s="651"/>
      <c r="AV23" s="651"/>
      <c r="AW23" s="651"/>
      <c r="AX23" s="651"/>
      <c r="AY23" s="651">
        <v>4135</v>
      </c>
      <c r="AZ23" s="651"/>
      <c r="BA23" s="651"/>
      <c r="BB23" s="651"/>
      <c r="BC23" s="651"/>
      <c r="BD23" s="651"/>
      <c r="BE23" s="651">
        <v>0</v>
      </c>
      <c r="BF23" s="651"/>
      <c r="BG23" s="651"/>
      <c r="BH23" s="651"/>
      <c r="BI23" s="651"/>
      <c r="BJ23" s="651"/>
      <c r="BK23" s="72"/>
    </row>
    <row r="24" spans="1:63" ht="12.95" customHeight="1">
      <c r="B24" s="64"/>
      <c r="C24" s="64"/>
      <c r="D24" s="64"/>
      <c r="E24" s="68"/>
      <c r="F24" s="68"/>
      <c r="G24" s="560">
        <v>22</v>
      </c>
      <c r="H24" s="560"/>
      <c r="I24" s="560"/>
      <c r="J24" s="64"/>
      <c r="K24" s="64"/>
      <c r="L24" s="64"/>
      <c r="M24" s="64"/>
      <c r="N24" s="76"/>
      <c r="O24" s="651">
        <v>4568</v>
      </c>
      <c r="P24" s="651"/>
      <c r="Q24" s="651"/>
      <c r="R24" s="651"/>
      <c r="S24" s="651"/>
      <c r="T24" s="651"/>
      <c r="U24" s="651">
        <v>56</v>
      </c>
      <c r="V24" s="651"/>
      <c r="W24" s="651"/>
      <c r="X24" s="651"/>
      <c r="Y24" s="651"/>
      <c r="Z24" s="651"/>
      <c r="AA24" s="651">
        <v>4512</v>
      </c>
      <c r="AB24" s="651"/>
      <c r="AC24" s="651"/>
      <c r="AD24" s="651"/>
      <c r="AE24" s="651"/>
      <c r="AF24" s="651"/>
      <c r="AG24" s="651">
        <v>0</v>
      </c>
      <c r="AH24" s="651"/>
      <c r="AI24" s="651"/>
      <c r="AJ24" s="651"/>
      <c r="AK24" s="651"/>
      <c r="AL24" s="651"/>
      <c r="AM24" s="651">
        <v>4261</v>
      </c>
      <c r="AN24" s="651"/>
      <c r="AO24" s="651"/>
      <c r="AP24" s="651"/>
      <c r="AQ24" s="651"/>
      <c r="AR24" s="651"/>
      <c r="AS24" s="651">
        <v>20</v>
      </c>
      <c r="AT24" s="651"/>
      <c r="AU24" s="651"/>
      <c r="AV24" s="651"/>
      <c r="AW24" s="651"/>
      <c r="AX24" s="651"/>
      <c r="AY24" s="651">
        <v>4241</v>
      </c>
      <c r="AZ24" s="651"/>
      <c r="BA24" s="651"/>
      <c r="BB24" s="651"/>
      <c r="BC24" s="651"/>
      <c r="BD24" s="651"/>
      <c r="BE24" s="651">
        <v>0</v>
      </c>
      <c r="BF24" s="651"/>
      <c r="BG24" s="651"/>
      <c r="BH24" s="651"/>
      <c r="BI24" s="651"/>
      <c r="BJ24" s="651"/>
    </row>
    <row r="25" spans="1:63" ht="12.95" customHeight="1">
      <c r="B25" s="64"/>
      <c r="C25" s="64"/>
      <c r="D25" s="64"/>
      <c r="E25" s="68"/>
      <c r="F25" s="68"/>
      <c r="G25" s="560">
        <v>23</v>
      </c>
      <c r="H25" s="560"/>
      <c r="I25" s="560"/>
      <c r="J25" s="64"/>
      <c r="K25" s="64"/>
      <c r="L25" s="64"/>
      <c r="M25" s="64"/>
      <c r="N25" s="76"/>
      <c r="O25" s="651">
        <v>4640</v>
      </c>
      <c r="P25" s="651"/>
      <c r="Q25" s="651"/>
      <c r="R25" s="651"/>
      <c r="S25" s="651"/>
      <c r="T25" s="651"/>
      <c r="U25" s="651">
        <v>42</v>
      </c>
      <c r="V25" s="651"/>
      <c r="W25" s="651"/>
      <c r="X25" s="651"/>
      <c r="Y25" s="651"/>
      <c r="Z25" s="651"/>
      <c r="AA25" s="651">
        <v>4598</v>
      </c>
      <c r="AB25" s="651"/>
      <c r="AC25" s="651"/>
      <c r="AD25" s="651"/>
      <c r="AE25" s="651"/>
      <c r="AF25" s="651"/>
      <c r="AG25" s="652">
        <v>0</v>
      </c>
      <c r="AH25" s="652"/>
      <c r="AI25" s="652"/>
      <c r="AJ25" s="652"/>
      <c r="AK25" s="652"/>
      <c r="AL25" s="652"/>
      <c r="AM25" s="651">
        <v>4343</v>
      </c>
      <c r="AN25" s="651"/>
      <c r="AO25" s="651"/>
      <c r="AP25" s="651"/>
      <c r="AQ25" s="651"/>
      <c r="AR25" s="651"/>
      <c r="AS25" s="651">
        <v>14</v>
      </c>
      <c r="AT25" s="651"/>
      <c r="AU25" s="651"/>
      <c r="AV25" s="651"/>
      <c r="AW25" s="651"/>
      <c r="AX25" s="651"/>
      <c r="AY25" s="651">
        <v>4329</v>
      </c>
      <c r="AZ25" s="651"/>
      <c r="BA25" s="651"/>
      <c r="BB25" s="651"/>
      <c r="BC25" s="651"/>
      <c r="BD25" s="651"/>
      <c r="BE25" s="652">
        <v>0</v>
      </c>
      <c r="BF25" s="652"/>
      <c r="BG25" s="652"/>
      <c r="BH25" s="652"/>
      <c r="BI25" s="652"/>
      <c r="BJ25" s="652"/>
    </row>
    <row r="26" spans="1:63" s="72" customFormat="1" ht="12.95" customHeight="1">
      <c r="B26" s="73"/>
      <c r="C26" s="73"/>
      <c r="D26" s="73"/>
      <c r="E26" s="75"/>
      <c r="F26" s="75"/>
      <c r="G26" s="582">
        <v>24</v>
      </c>
      <c r="H26" s="582"/>
      <c r="I26" s="582"/>
      <c r="J26" s="73"/>
      <c r="K26" s="73"/>
      <c r="L26" s="73"/>
      <c r="M26" s="73"/>
      <c r="N26" s="74"/>
      <c r="O26" s="770">
        <f>SUM(U26:AL26)</f>
        <v>4685</v>
      </c>
      <c r="P26" s="770"/>
      <c r="Q26" s="770"/>
      <c r="R26" s="770"/>
      <c r="S26" s="770"/>
      <c r="T26" s="770"/>
      <c r="U26" s="770">
        <v>37</v>
      </c>
      <c r="V26" s="770"/>
      <c r="W26" s="770"/>
      <c r="X26" s="770"/>
      <c r="Y26" s="770"/>
      <c r="Z26" s="770"/>
      <c r="AA26" s="770">
        <v>4648</v>
      </c>
      <c r="AB26" s="770"/>
      <c r="AC26" s="770"/>
      <c r="AD26" s="770"/>
      <c r="AE26" s="770"/>
      <c r="AF26" s="770"/>
      <c r="AG26" s="770">
        <v>0</v>
      </c>
      <c r="AH26" s="770"/>
      <c r="AI26" s="770"/>
      <c r="AJ26" s="770"/>
      <c r="AK26" s="770"/>
      <c r="AL26" s="770"/>
      <c r="AM26" s="770">
        <f>SUM(AS26:BJ26)</f>
        <v>4385</v>
      </c>
      <c r="AN26" s="770"/>
      <c r="AO26" s="770"/>
      <c r="AP26" s="770"/>
      <c r="AQ26" s="770"/>
      <c r="AR26" s="770"/>
      <c r="AS26" s="770">
        <v>12</v>
      </c>
      <c r="AT26" s="770"/>
      <c r="AU26" s="770"/>
      <c r="AV26" s="770"/>
      <c r="AW26" s="770"/>
      <c r="AX26" s="770"/>
      <c r="AY26" s="770">
        <v>4373</v>
      </c>
      <c r="AZ26" s="770"/>
      <c r="BA26" s="770"/>
      <c r="BB26" s="770"/>
      <c r="BC26" s="770"/>
      <c r="BD26" s="770"/>
      <c r="BE26" s="770">
        <v>0</v>
      </c>
      <c r="BF26" s="770"/>
      <c r="BG26" s="770"/>
      <c r="BH26" s="770"/>
      <c r="BI26" s="770"/>
      <c r="BJ26" s="770"/>
    </row>
    <row r="27" spans="1:63" ht="8.1" customHeight="1">
      <c r="B27" s="69"/>
      <c r="C27" s="69"/>
      <c r="D27" s="69"/>
      <c r="E27" s="71"/>
      <c r="F27" s="71"/>
      <c r="G27" s="71"/>
      <c r="H27" s="71"/>
      <c r="I27" s="69"/>
      <c r="J27" s="69"/>
      <c r="K27" s="69"/>
      <c r="L27" s="69"/>
      <c r="M27" s="69"/>
      <c r="N27" s="70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</row>
    <row r="28" spans="1:63" ht="12.95" customHeight="1">
      <c r="B28" s="565" t="s">
        <v>1</v>
      </c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 t="s">
        <v>313</v>
      </c>
      <c r="P28" s="561"/>
      <c r="Q28" s="561"/>
      <c r="R28" s="561"/>
      <c r="S28" s="561"/>
      <c r="T28" s="561"/>
      <c r="U28" s="561"/>
      <c r="V28" s="561"/>
      <c r="W28" s="561"/>
      <c r="X28" s="561"/>
      <c r="Y28" s="561"/>
      <c r="Z28" s="561"/>
      <c r="AA28" s="561"/>
      <c r="AB28" s="561"/>
      <c r="AC28" s="561"/>
      <c r="AD28" s="561"/>
      <c r="AE28" s="561"/>
      <c r="AF28" s="561"/>
      <c r="AG28" s="561"/>
      <c r="AH28" s="561"/>
      <c r="AI28" s="561"/>
      <c r="AJ28" s="561"/>
      <c r="AK28" s="561"/>
      <c r="AL28" s="561"/>
      <c r="AM28" s="561" t="s">
        <v>312</v>
      </c>
      <c r="AN28" s="561"/>
      <c r="AO28" s="561"/>
      <c r="AP28" s="561"/>
      <c r="AQ28" s="561"/>
      <c r="AR28" s="561"/>
      <c r="AS28" s="561"/>
      <c r="AT28" s="561"/>
      <c r="AU28" s="561"/>
      <c r="AV28" s="561"/>
      <c r="AW28" s="561"/>
      <c r="AX28" s="561"/>
      <c r="AY28" s="561"/>
      <c r="AZ28" s="561"/>
      <c r="BA28" s="561"/>
      <c r="BB28" s="561"/>
      <c r="BC28" s="561"/>
      <c r="BD28" s="561"/>
      <c r="BE28" s="561"/>
      <c r="BF28" s="561"/>
      <c r="BG28" s="561"/>
      <c r="BH28" s="561"/>
      <c r="BI28" s="561"/>
      <c r="BJ28" s="579"/>
    </row>
    <row r="29" spans="1:63" ht="12.95" customHeight="1">
      <c r="B29" s="566"/>
      <c r="C29" s="562"/>
      <c r="D29" s="562"/>
      <c r="E29" s="562"/>
      <c r="F29" s="562"/>
      <c r="G29" s="562"/>
      <c r="H29" s="562"/>
      <c r="I29" s="562"/>
      <c r="J29" s="562"/>
      <c r="K29" s="562"/>
      <c r="L29" s="562"/>
      <c r="M29" s="562"/>
      <c r="N29" s="562"/>
      <c r="O29" s="562" t="s">
        <v>238</v>
      </c>
      <c r="P29" s="562"/>
      <c r="Q29" s="562"/>
      <c r="R29" s="562"/>
      <c r="S29" s="562"/>
      <c r="T29" s="562"/>
      <c r="U29" s="562" t="s">
        <v>311</v>
      </c>
      <c r="V29" s="562"/>
      <c r="W29" s="562"/>
      <c r="X29" s="562"/>
      <c r="Y29" s="562"/>
      <c r="Z29" s="562"/>
      <c r="AA29" s="562" t="s">
        <v>310</v>
      </c>
      <c r="AB29" s="562"/>
      <c r="AC29" s="562"/>
      <c r="AD29" s="562"/>
      <c r="AE29" s="562"/>
      <c r="AF29" s="562"/>
      <c r="AG29" s="562" t="s">
        <v>309</v>
      </c>
      <c r="AH29" s="562"/>
      <c r="AI29" s="562"/>
      <c r="AJ29" s="562"/>
      <c r="AK29" s="562"/>
      <c r="AL29" s="562"/>
      <c r="AM29" s="562" t="s">
        <v>238</v>
      </c>
      <c r="AN29" s="562"/>
      <c r="AO29" s="562"/>
      <c r="AP29" s="562"/>
      <c r="AQ29" s="562"/>
      <c r="AR29" s="562"/>
      <c r="AS29" s="562" t="s">
        <v>308</v>
      </c>
      <c r="AT29" s="562"/>
      <c r="AU29" s="562"/>
      <c r="AV29" s="562"/>
      <c r="AW29" s="562"/>
      <c r="AX29" s="562"/>
      <c r="AY29" s="562" t="s">
        <v>307</v>
      </c>
      <c r="AZ29" s="562"/>
      <c r="BA29" s="562"/>
      <c r="BB29" s="562"/>
      <c r="BC29" s="562"/>
      <c r="BD29" s="562"/>
      <c r="BE29" s="562" t="s">
        <v>306</v>
      </c>
      <c r="BF29" s="562"/>
      <c r="BG29" s="562"/>
      <c r="BH29" s="562"/>
      <c r="BI29" s="562"/>
      <c r="BJ29" s="580"/>
    </row>
    <row r="30" spans="1:63" ht="8.1" customHeight="1">
      <c r="B30" s="64"/>
      <c r="C30" s="68"/>
      <c r="D30" s="68"/>
      <c r="E30" s="68"/>
      <c r="F30" s="68"/>
      <c r="G30" s="64"/>
      <c r="H30" s="64"/>
      <c r="I30" s="64"/>
      <c r="J30" s="64"/>
      <c r="K30" s="64"/>
      <c r="L30" s="64"/>
      <c r="M30" s="64"/>
      <c r="N30" s="7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</row>
    <row r="31" spans="1:63" ht="12.95" customHeight="1">
      <c r="B31" s="64"/>
      <c r="C31" s="581" t="s">
        <v>162</v>
      </c>
      <c r="D31" s="581"/>
      <c r="E31" s="581"/>
      <c r="F31" s="581"/>
      <c r="G31" s="560">
        <v>20</v>
      </c>
      <c r="H31" s="560"/>
      <c r="I31" s="560"/>
      <c r="J31" s="581" t="s">
        <v>161</v>
      </c>
      <c r="K31" s="581"/>
      <c r="L31" s="581"/>
      <c r="M31" s="581"/>
      <c r="N31" s="76"/>
      <c r="O31" s="651">
        <v>47</v>
      </c>
      <c r="P31" s="651"/>
      <c r="Q31" s="651"/>
      <c r="R31" s="651"/>
      <c r="S31" s="651"/>
      <c r="T31" s="651"/>
      <c r="U31" s="651">
        <v>6</v>
      </c>
      <c r="V31" s="651"/>
      <c r="W31" s="651"/>
      <c r="X31" s="651"/>
      <c r="Y31" s="651"/>
      <c r="Z31" s="651"/>
      <c r="AA31" s="651">
        <v>41</v>
      </c>
      <c r="AB31" s="651"/>
      <c r="AC31" s="651"/>
      <c r="AD31" s="651"/>
      <c r="AE31" s="651"/>
      <c r="AF31" s="651"/>
      <c r="AG31" s="651">
        <v>0</v>
      </c>
      <c r="AH31" s="651"/>
      <c r="AI31" s="651"/>
      <c r="AJ31" s="651"/>
      <c r="AK31" s="651"/>
      <c r="AL31" s="651"/>
      <c r="AM31" s="651">
        <v>238</v>
      </c>
      <c r="AN31" s="651"/>
      <c r="AO31" s="651"/>
      <c r="AP31" s="651"/>
      <c r="AQ31" s="651"/>
      <c r="AR31" s="651"/>
      <c r="AS31" s="651">
        <v>45</v>
      </c>
      <c r="AT31" s="651"/>
      <c r="AU31" s="651"/>
      <c r="AV31" s="651"/>
      <c r="AW31" s="651"/>
      <c r="AX31" s="651"/>
      <c r="AY31" s="651">
        <v>193</v>
      </c>
      <c r="AZ31" s="651"/>
      <c r="BA31" s="651"/>
      <c r="BB31" s="651"/>
      <c r="BC31" s="651"/>
      <c r="BD31" s="651"/>
      <c r="BE31" s="651">
        <v>0</v>
      </c>
      <c r="BF31" s="651"/>
      <c r="BG31" s="651"/>
      <c r="BH31" s="651"/>
      <c r="BI31" s="651"/>
      <c r="BJ31" s="651"/>
    </row>
    <row r="32" spans="1:63" ht="12.95" customHeight="1">
      <c r="A32" s="72"/>
      <c r="B32" s="73"/>
      <c r="C32" s="64"/>
      <c r="D32" s="64"/>
      <c r="E32" s="68"/>
      <c r="F32" s="68"/>
      <c r="G32" s="560">
        <v>21</v>
      </c>
      <c r="H32" s="560"/>
      <c r="I32" s="560"/>
      <c r="J32" s="64"/>
      <c r="K32" s="64"/>
      <c r="L32" s="64"/>
      <c r="M32" s="64"/>
      <c r="N32" s="76"/>
      <c r="O32" s="651">
        <v>47</v>
      </c>
      <c r="P32" s="651"/>
      <c r="Q32" s="651"/>
      <c r="R32" s="651"/>
      <c r="S32" s="651"/>
      <c r="T32" s="651"/>
      <c r="U32" s="651">
        <v>4</v>
      </c>
      <c r="V32" s="651"/>
      <c r="W32" s="651"/>
      <c r="X32" s="651"/>
      <c r="Y32" s="651"/>
      <c r="Z32" s="651"/>
      <c r="AA32" s="651">
        <v>43</v>
      </c>
      <c r="AB32" s="651"/>
      <c r="AC32" s="651"/>
      <c r="AD32" s="651"/>
      <c r="AE32" s="651"/>
      <c r="AF32" s="651"/>
      <c r="AG32" s="651">
        <v>0</v>
      </c>
      <c r="AH32" s="651"/>
      <c r="AI32" s="651"/>
      <c r="AJ32" s="651"/>
      <c r="AK32" s="651"/>
      <c r="AL32" s="651"/>
      <c r="AM32" s="651">
        <v>242</v>
      </c>
      <c r="AN32" s="651"/>
      <c r="AO32" s="651"/>
      <c r="AP32" s="651"/>
      <c r="AQ32" s="651"/>
      <c r="AR32" s="651"/>
      <c r="AS32" s="651">
        <v>40</v>
      </c>
      <c r="AT32" s="651"/>
      <c r="AU32" s="651"/>
      <c r="AV32" s="651"/>
      <c r="AW32" s="651"/>
      <c r="AX32" s="651"/>
      <c r="AY32" s="651">
        <v>202</v>
      </c>
      <c r="AZ32" s="651"/>
      <c r="BA32" s="651"/>
      <c r="BB32" s="651"/>
      <c r="BC32" s="651"/>
      <c r="BD32" s="651"/>
      <c r="BE32" s="651">
        <v>0</v>
      </c>
      <c r="BF32" s="651"/>
      <c r="BG32" s="651"/>
      <c r="BH32" s="651"/>
      <c r="BI32" s="651"/>
      <c r="BJ32" s="651"/>
      <c r="BK32" s="72"/>
    </row>
    <row r="33" spans="2:62" ht="12.95" customHeight="1">
      <c r="B33" s="64"/>
      <c r="C33" s="64"/>
      <c r="D33" s="64"/>
      <c r="E33" s="68"/>
      <c r="F33" s="68"/>
      <c r="G33" s="560">
        <v>22</v>
      </c>
      <c r="H33" s="560"/>
      <c r="I33" s="560"/>
      <c r="J33" s="64"/>
      <c r="K33" s="64"/>
      <c r="L33" s="64"/>
      <c r="M33" s="64"/>
      <c r="N33" s="76"/>
      <c r="O33" s="651">
        <v>44</v>
      </c>
      <c r="P33" s="651"/>
      <c r="Q33" s="651"/>
      <c r="R33" s="651"/>
      <c r="S33" s="651"/>
      <c r="T33" s="651"/>
      <c r="U33" s="651">
        <v>1</v>
      </c>
      <c r="V33" s="651"/>
      <c r="W33" s="651"/>
      <c r="X33" s="651"/>
      <c r="Y33" s="651"/>
      <c r="Z33" s="651"/>
      <c r="AA33" s="651">
        <v>43</v>
      </c>
      <c r="AB33" s="651"/>
      <c r="AC33" s="651"/>
      <c r="AD33" s="651"/>
      <c r="AE33" s="651"/>
      <c r="AF33" s="651"/>
      <c r="AG33" s="652">
        <v>0</v>
      </c>
      <c r="AH33" s="652"/>
      <c r="AI33" s="652"/>
      <c r="AJ33" s="652"/>
      <c r="AK33" s="652"/>
      <c r="AL33" s="652"/>
      <c r="AM33" s="651">
        <v>263</v>
      </c>
      <c r="AN33" s="651"/>
      <c r="AO33" s="651"/>
      <c r="AP33" s="651"/>
      <c r="AQ33" s="651"/>
      <c r="AR33" s="651"/>
      <c r="AS33" s="651">
        <v>35</v>
      </c>
      <c r="AT33" s="651"/>
      <c r="AU33" s="651"/>
      <c r="AV33" s="651"/>
      <c r="AW33" s="651"/>
      <c r="AX33" s="651"/>
      <c r="AY33" s="651">
        <v>228</v>
      </c>
      <c r="AZ33" s="651"/>
      <c r="BA33" s="651"/>
      <c r="BB33" s="651"/>
      <c r="BC33" s="651"/>
      <c r="BD33" s="651"/>
      <c r="BE33" s="652">
        <v>0</v>
      </c>
      <c r="BF33" s="652"/>
      <c r="BG33" s="652"/>
      <c r="BH33" s="652"/>
      <c r="BI33" s="652"/>
      <c r="BJ33" s="652"/>
    </row>
    <row r="34" spans="2:62" ht="12.95" customHeight="1">
      <c r="B34" s="64"/>
      <c r="C34" s="64"/>
      <c r="D34" s="64"/>
      <c r="E34" s="68"/>
      <c r="F34" s="68"/>
      <c r="G34" s="560">
        <v>23</v>
      </c>
      <c r="H34" s="560"/>
      <c r="I34" s="560"/>
      <c r="J34" s="64"/>
      <c r="K34" s="64"/>
      <c r="L34" s="64"/>
      <c r="M34" s="64"/>
      <c r="N34" s="76"/>
      <c r="O34" s="652">
        <v>41</v>
      </c>
      <c r="P34" s="652"/>
      <c r="Q34" s="652"/>
      <c r="R34" s="652"/>
      <c r="S34" s="652"/>
      <c r="T34" s="652"/>
      <c r="U34" s="652">
        <v>1</v>
      </c>
      <c r="V34" s="652"/>
      <c r="W34" s="652"/>
      <c r="X34" s="652"/>
      <c r="Y34" s="652"/>
      <c r="Z34" s="652"/>
      <c r="AA34" s="652">
        <v>40</v>
      </c>
      <c r="AB34" s="652"/>
      <c r="AC34" s="652"/>
      <c r="AD34" s="652"/>
      <c r="AE34" s="652"/>
      <c r="AF34" s="652"/>
      <c r="AG34" s="652">
        <v>0</v>
      </c>
      <c r="AH34" s="652"/>
      <c r="AI34" s="652"/>
      <c r="AJ34" s="652"/>
      <c r="AK34" s="652"/>
      <c r="AL34" s="652"/>
      <c r="AM34" s="652">
        <v>256</v>
      </c>
      <c r="AN34" s="652"/>
      <c r="AO34" s="652"/>
      <c r="AP34" s="652"/>
      <c r="AQ34" s="652"/>
      <c r="AR34" s="652"/>
      <c r="AS34" s="652">
        <v>27</v>
      </c>
      <c r="AT34" s="652"/>
      <c r="AU34" s="652"/>
      <c r="AV34" s="652"/>
      <c r="AW34" s="652"/>
      <c r="AX34" s="652"/>
      <c r="AY34" s="652">
        <v>229</v>
      </c>
      <c r="AZ34" s="652"/>
      <c r="BA34" s="652"/>
      <c r="BB34" s="652"/>
      <c r="BC34" s="652"/>
      <c r="BD34" s="652"/>
      <c r="BE34" s="652">
        <v>0</v>
      </c>
      <c r="BF34" s="652"/>
      <c r="BG34" s="652"/>
      <c r="BH34" s="652"/>
      <c r="BI34" s="652"/>
      <c r="BJ34" s="652"/>
    </row>
    <row r="35" spans="2:62" s="72" customFormat="1" ht="12.95" customHeight="1">
      <c r="B35" s="73"/>
      <c r="C35" s="73"/>
      <c r="D35" s="73"/>
      <c r="E35" s="75"/>
      <c r="F35" s="75"/>
      <c r="G35" s="582">
        <v>24</v>
      </c>
      <c r="H35" s="582"/>
      <c r="I35" s="582"/>
      <c r="J35" s="73"/>
      <c r="K35" s="73"/>
      <c r="L35" s="73"/>
      <c r="M35" s="73"/>
      <c r="N35" s="74"/>
      <c r="O35" s="770">
        <f>SUM(U35:AL35)</f>
        <v>45</v>
      </c>
      <c r="P35" s="770"/>
      <c r="Q35" s="770"/>
      <c r="R35" s="770"/>
      <c r="S35" s="770"/>
      <c r="T35" s="770"/>
      <c r="U35" s="770">
        <v>0</v>
      </c>
      <c r="V35" s="770"/>
      <c r="W35" s="770"/>
      <c r="X35" s="770"/>
      <c r="Y35" s="770"/>
      <c r="Z35" s="770"/>
      <c r="AA35" s="770">
        <v>45</v>
      </c>
      <c r="AB35" s="770"/>
      <c r="AC35" s="770"/>
      <c r="AD35" s="770"/>
      <c r="AE35" s="770"/>
      <c r="AF35" s="770"/>
      <c r="AG35" s="770">
        <v>0</v>
      </c>
      <c r="AH35" s="770"/>
      <c r="AI35" s="770"/>
      <c r="AJ35" s="770"/>
      <c r="AK35" s="770"/>
      <c r="AL35" s="770"/>
      <c r="AM35" s="770">
        <f>SUM(AS35:BJ35)</f>
        <v>255</v>
      </c>
      <c r="AN35" s="770"/>
      <c r="AO35" s="770"/>
      <c r="AP35" s="770"/>
      <c r="AQ35" s="770"/>
      <c r="AR35" s="770"/>
      <c r="AS35" s="770">
        <v>25</v>
      </c>
      <c r="AT35" s="770"/>
      <c r="AU35" s="770"/>
      <c r="AV35" s="770"/>
      <c r="AW35" s="770"/>
      <c r="AX35" s="770"/>
      <c r="AY35" s="770">
        <v>230</v>
      </c>
      <c r="AZ35" s="770"/>
      <c r="BA35" s="770"/>
      <c r="BB35" s="770"/>
      <c r="BC35" s="770"/>
      <c r="BD35" s="770"/>
      <c r="BE35" s="770">
        <v>0</v>
      </c>
      <c r="BF35" s="770"/>
      <c r="BG35" s="770"/>
      <c r="BH35" s="770"/>
      <c r="BI35" s="770"/>
      <c r="BJ35" s="770"/>
    </row>
    <row r="36" spans="2:62" ht="8.1" customHeight="1">
      <c r="B36" s="69"/>
      <c r="C36" s="69"/>
      <c r="D36" s="69"/>
      <c r="E36" s="71"/>
      <c r="F36" s="71"/>
      <c r="G36" s="71"/>
      <c r="H36" s="71"/>
      <c r="I36" s="69"/>
      <c r="J36" s="69"/>
      <c r="K36" s="69"/>
      <c r="L36" s="69"/>
      <c r="M36" s="69"/>
      <c r="N36" s="70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</row>
    <row r="37" spans="2:62" ht="12" customHeight="1">
      <c r="B37" s="577" t="s">
        <v>9</v>
      </c>
      <c r="C37" s="577"/>
      <c r="D37" s="577"/>
      <c r="E37" s="66" t="s">
        <v>159</v>
      </c>
      <c r="F37" s="61" t="s">
        <v>158</v>
      </c>
    </row>
    <row r="38" spans="2:62" ht="11.25">
      <c r="B38" s="262"/>
      <c r="C38" s="262"/>
      <c r="D38" s="262"/>
      <c r="E38" s="261"/>
    </row>
    <row r="39" spans="2:62" ht="12" customHeight="1">
      <c r="B39" s="262"/>
      <c r="C39" s="262"/>
      <c r="D39" s="262"/>
      <c r="E39" s="261"/>
    </row>
    <row r="40" spans="2:62" ht="18" customHeight="1">
      <c r="B40" s="780" t="s">
        <v>399</v>
      </c>
      <c r="C40" s="780"/>
      <c r="D40" s="780"/>
      <c r="E40" s="780"/>
      <c r="F40" s="780"/>
      <c r="G40" s="780"/>
      <c r="H40" s="780"/>
      <c r="I40" s="780"/>
      <c r="J40" s="780"/>
      <c r="K40" s="780"/>
      <c r="L40" s="780"/>
      <c r="M40" s="780"/>
      <c r="N40" s="780"/>
      <c r="O40" s="780"/>
      <c r="P40" s="780"/>
      <c r="Q40" s="780"/>
      <c r="R40" s="780"/>
      <c r="S40" s="780"/>
      <c r="T40" s="780"/>
      <c r="U40" s="780"/>
      <c r="V40" s="780"/>
      <c r="W40" s="780"/>
      <c r="X40" s="780"/>
      <c r="Y40" s="780"/>
      <c r="Z40" s="780"/>
      <c r="AA40" s="780"/>
      <c r="AB40" s="780"/>
      <c r="AC40" s="780"/>
      <c r="AD40" s="780"/>
      <c r="AE40" s="780"/>
      <c r="AF40" s="780"/>
      <c r="AG40" s="780"/>
      <c r="AH40" s="780"/>
      <c r="AI40" s="780"/>
      <c r="AJ40" s="780"/>
      <c r="AK40" s="780"/>
      <c r="AL40" s="780"/>
      <c r="AM40" s="780"/>
      <c r="AN40" s="780"/>
      <c r="AO40" s="780"/>
      <c r="AP40" s="780"/>
      <c r="AQ40" s="780"/>
      <c r="AR40" s="780"/>
      <c r="AS40" s="780"/>
      <c r="AT40" s="780"/>
      <c r="AU40" s="780"/>
      <c r="AV40" s="780"/>
      <c r="AW40" s="780"/>
      <c r="AX40" s="780"/>
      <c r="AY40" s="780"/>
      <c r="AZ40" s="780"/>
      <c r="BA40" s="780"/>
      <c r="BB40" s="780"/>
      <c r="BC40" s="780"/>
      <c r="BD40" s="780"/>
      <c r="BE40" s="780"/>
      <c r="BF40" s="780"/>
      <c r="BG40" s="780"/>
      <c r="BH40" s="780"/>
      <c r="BI40" s="780"/>
      <c r="BJ40" s="780"/>
    </row>
    <row r="41" spans="2:62" ht="8.1" customHeight="1"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</row>
    <row r="42" spans="2:62" ht="12.95" customHeight="1"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3"/>
      <c r="M42" s="152"/>
      <c r="N42" s="152"/>
      <c r="O42" s="152"/>
      <c r="P42" s="152"/>
      <c r="Q42" s="152"/>
      <c r="R42" s="152"/>
      <c r="S42" s="152"/>
      <c r="T42" s="151"/>
      <c r="U42" s="674" t="s">
        <v>223</v>
      </c>
      <c r="V42" s="674"/>
      <c r="W42" s="674"/>
      <c r="X42" s="674"/>
      <c r="Y42" s="674"/>
      <c r="Z42" s="674"/>
      <c r="AA42" s="674"/>
      <c r="AB42" s="674"/>
      <c r="AC42" s="674"/>
      <c r="AD42" s="674"/>
      <c r="AE42" s="674"/>
      <c r="AF42" s="674"/>
      <c r="AG42" s="674"/>
      <c r="AH42" s="674"/>
      <c r="AI42" s="674" t="s">
        <v>231</v>
      </c>
      <c r="AJ42" s="674"/>
      <c r="AK42" s="674"/>
      <c r="AL42" s="674"/>
      <c r="AM42" s="674"/>
      <c r="AN42" s="674"/>
      <c r="AO42" s="674"/>
      <c r="AP42" s="674"/>
      <c r="AQ42" s="674"/>
      <c r="AR42" s="674"/>
      <c r="AS42" s="674"/>
      <c r="AT42" s="674"/>
      <c r="AU42" s="674"/>
      <c r="AV42" s="674"/>
      <c r="AW42" s="674"/>
      <c r="AX42" s="674"/>
      <c r="AY42" s="674"/>
      <c r="AZ42" s="674"/>
      <c r="BA42" s="674"/>
      <c r="BB42" s="674"/>
      <c r="BC42" s="674"/>
      <c r="BD42" s="674"/>
      <c r="BE42" s="674"/>
      <c r="BF42" s="674"/>
      <c r="BG42" s="674"/>
      <c r="BH42" s="674"/>
      <c r="BI42" s="674"/>
      <c r="BJ42" s="676"/>
    </row>
    <row r="43" spans="2:62" ht="12.95" customHeight="1">
      <c r="B43" s="706" t="s">
        <v>1</v>
      </c>
      <c r="C43" s="706"/>
      <c r="D43" s="706"/>
      <c r="E43" s="706"/>
      <c r="F43" s="706"/>
      <c r="G43" s="706"/>
      <c r="H43" s="706"/>
      <c r="I43" s="706"/>
      <c r="J43" s="706"/>
      <c r="K43" s="706"/>
      <c r="L43" s="705" t="s">
        <v>358</v>
      </c>
      <c r="M43" s="706"/>
      <c r="N43" s="706"/>
      <c r="O43" s="706"/>
      <c r="P43" s="706"/>
      <c r="Q43" s="706"/>
      <c r="R43" s="706"/>
      <c r="S43" s="706"/>
      <c r="T43" s="70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  <c r="AI43" s="427" t="s">
        <v>357</v>
      </c>
      <c r="AJ43" s="427"/>
      <c r="AK43" s="427"/>
      <c r="AL43" s="427"/>
      <c r="AM43" s="427"/>
      <c r="AN43" s="427"/>
      <c r="AO43" s="427"/>
      <c r="AP43" s="427"/>
      <c r="AQ43" s="427"/>
      <c r="AR43" s="427"/>
      <c r="AS43" s="427"/>
      <c r="AT43" s="427"/>
      <c r="AU43" s="427"/>
      <c r="AV43" s="427"/>
      <c r="AW43" s="427" t="s">
        <v>356</v>
      </c>
      <c r="AX43" s="427"/>
      <c r="AY43" s="427"/>
      <c r="AZ43" s="427"/>
      <c r="BA43" s="427"/>
      <c r="BB43" s="427"/>
      <c r="BC43" s="427"/>
      <c r="BD43" s="427"/>
      <c r="BE43" s="427"/>
      <c r="BF43" s="427"/>
      <c r="BG43" s="427"/>
      <c r="BH43" s="427"/>
      <c r="BI43" s="427"/>
      <c r="BJ43" s="428"/>
    </row>
    <row r="44" spans="2:62" ht="12.95" customHeight="1"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50"/>
      <c r="M44" s="149"/>
      <c r="N44" s="149"/>
      <c r="O44" s="149"/>
      <c r="P44" s="149"/>
      <c r="Q44" s="149"/>
      <c r="R44" s="149"/>
      <c r="S44" s="149"/>
      <c r="T44" s="148"/>
      <c r="U44" s="427" t="s">
        <v>355</v>
      </c>
      <c r="V44" s="427"/>
      <c r="W44" s="427"/>
      <c r="X44" s="427"/>
      <c r="Y44" s="427"/>
      <c r="Z44" s="427"/>
      <c r="AA44" s="427"/>
      <c r="AB44" s="427" t="s">
        <v>354</v>
      </c>
      <c r="AC44" s="427"/>
      <c r="AD44" s="427"/>
      <c r="AE44" s="427"/>
      <c r="AF44" s="427"/>
      <c r="AG44" s="427"/>
      <c r="AH44" s="427"/>
      <c r="AI44" s="427" t="s">
        <v>177</v>
      </c>
      <c r="AJ44" s="427"/>
      <c r="AK44" s="427"/>
      <c r="AL44" s="427"/>
      <c r="AM44" s="427"/>
      <c r="AN44" s="427"/>
      <c r="AO44" s="427"/>
      <c r="AP44" s="427" t="s">
        <v>348</v>
      </c>
      <c r="AQ44" s="427"/>
      <c r="AR44" s="427"/>
      <c r="AS44" s="427"/>
      <c r="AT44" s="427"/>
      <c r="AU44" s="427"/>
      <c r="AV44" s="427"/>
      <c r="AW44" s="427" t="s">
        <v>177</v>
      </c>
      <c r="AX44" s="427"/>
      <c r="AY44" s="427"/>
      <c r="AZ44" s="427"/>
      <c r="BA44" s="427"/>
      <c r="BB44" s="427"/>
      <c r="BC44" s="427"/>
      <c r="BD44" s="427" t="s">
        <v>348</v>
      </c>
      <c r="BE44" s="427"/>
      <c r="BF44" s="427"/>
      <c r="BG44" s="427"/>
      <c r="BH44" s="427"/>
      <c r="BI44" s="427"/>
      <c r="BJ44" s="428"/>
    </row>
    <row r="45" spans="2:62" ht="9.9499999999999993" customHeight="1">
      <c r="B45" s="143"/>
      <c r="C45" s="147"/>
      <c r="D45" s="147"/>
      <c r="E45" s="143"/>
      <c r="F45" s="147"/>
      <c r="G45" s="147"/>
      <c r="H45" s="143"/>
      <c r="I45" s="147"/>
      <c r="J45" s="147"/>
      <c r="K45" s="142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679" t="s">
        <v>157</v>
      </c>
      <c r="AG45" s="679"/>
      <c r="AH45" s="679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679" t="s">
        <v>157</v>
      </c>
      <c r="AU45" s="679"/>
      <c r="AV45" s="679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679" t="s">
        <v>157</v>
      </c>
      <c r="BI45" s="679"/>
      <c r="BJ45" s="679"/>
    </row>
    <row r="46" spans="2:62" ht="12.95" customHeight="1">
      <c r="B46" s="706" t="s">
        <v>162</v>
      </c>
      <c r="C46" s="706"/>
      <c r="D46" s="706"/>
      <c r="E46" s="706"/>
      <c r="F46" s="679">
        <v>20</v>
      </c>
      <c r="G46" s="679"/>
      <c r="H46" s="706" t="s">
        <v>161</v>
      </c>
      <c r="I46" s="706"/>
      <c r="J46" s="706"/>
      <c r="K46" s="707"/>
      <c r="L46" s="402">
        <v>59739</v>
      </c>
      <c r="M46" s="402"/>
      <c r="N46" s="402"/>
      <c r="O46" s="402"/>
      <c r="P46" s="402"/>
      <c r="Q46" s="402"/>
      <c r="R46" s="402"/>
      <c r="S46" s="402"/>
      <c r="T46" s="402"/>
      <c r="U46" s="402">
        <v>1820051</v>
      </c>
      <c r="V46" s="402"/>
      <c r="W46" s="402"/>
      <c r="X46" s="402"/>
      <c r="Y46" s="402"/>
      <c r="Z46" s="402"/>
      <c r="AA46" s="402"/>
      <c r="AB46" s="402">
        <v>44188811</v>
      </c>
      <c r="AC46" s="402"/>
      <c r="AD46" s="402"/>
      <c r="AE46" s="402"/>
      <c r="AF46" s="402"/>
      <c r="AG46" s="402"/>
      <c r="AH46" s="402"/>
      <c r="AI46" s="402">
        <v>38747</v>
      </c>
      <c r="AJ46" s="402"/>
      <c r="AK46" s="402"/>
      <c r="AL46" s="402"/>
      <c r="AM46" s="402"/>
      <c r="AN46" s="402"/>
      <c r="AO46" s="402"/>
      <c r="AP46" s="402">
        <v>18020708</v>
      </c>
      <c r="AQ46" s="402"/>
      <c r="AR46" s="402"/>
      <c r="AS46" s="402"/>
      <c r="AT46" s="402"/>
      <c r="AU46" s="402"/>
      <c r="AV46" s="402"/>
      <c r="AW46" s="402">
        <v>926605</v>
      </c>
      <c r="AX46" s="402"/>
      <c r="AY46" s="402"/>
      <c r="AZ46" s="402"/>
      <c r="BA46" s="402"/>
      <c r="BB46" s="402"/>
      <c r="BC46" s="402"/>
      <c r="BD46" s="402">
        <v>13384022</v>
      </c>
      <c r="BE46" s="402"/>
      <c r="BF46" s="402"/>
      <c r="BG46" s="402"/>
      <c r="BH46" s="402"/>
      <c r="BI46" s="402"/>
      <c r="BJ46" s="402"/>
    </row>
    <row r="47" spans="2:62" ht="12.95" customHeight="1">
      <c r="B47" s="14"/>
      <c r="C47" s="14"/>
      <c r="D47" s="14"/>
      <c r="E47" s="14"/>
      <c r="F47" s="679">
        <v>21</v>
      </c>
      <c r="G47" s="679"/>
      <c r="H47" s="14"/>
      <c r="I47" s="14"/>
      <c r="J47" s="14"/>
      <c r="K47" s="32"/>
      <c r="L47" s="414">
        <v>62649</v>
      </c>
      <c r="M47" s="414"/>
      <c r="N47" s="414"/>
      <c r="O47" s="414"/>
      <c r="P47" s="414"/>
      <c r="Q47" s="414"/>
      <c r="R47" s="414"/>
      <c r="S47" s="414"/>
      <c r="T47" s="414"/>
      <c r="U47" s="414">
        <v>2132459</v>
      </c>
      <c r="V47" s="414"/>
      <c r="W47" s="414"/>
      <c r="X47" s="414"/>
      <c r="Y47" s="414"/>
      <c r="Z47" s="414"/>
      <c r="AA47" s="414"/>
      <c r="AB47" s="414">
        <v>52280406</v>
      </c>
      <c r="AC47" s="414"/>
      <c r="AD47" s="414"/>
      <c r="AE47" s="414"/>
      <c r="AF47" s="414"/>
      <c r="AG47" s="414"/>
      <c r="AH47" s="414"/>
      <c r="AI47" s="414">
        <v>43545</v>
      </c>
      <c r="AJ47" s="414"/>
      <c r="AK47" s="414"/>
      <c r="AL47" s="414"/>
      <c r="AM47" s="414"/>
      <c r="AN47" s="414"/>
      <c r="AO47" s="414"/>
      <c r="AP47" s="414">
        <v>21163922</v>
      </c>
      <c r="AQ47" s="414"/>
      <c r="AR47" s="414"/>
      <c r="AS47" s="414"/>
      <c r="AT47" s="414"/>
      <c r="AU47" s="414"/>
      <c r="AV47" s="414"/>
      <c r="AW47" s="414">
        <v>1067185</v>
      </c>
      <c r="AX47" s="414"/>
      <c r="AY47" s="414"/>
      <c r="AZ47" s="414"/>
      <c r="BA47" s="414"/>
      <c r="BB47" s="414"/>
      <c r="BC47" s="414"/>
      <c r="BD47" s="414">
        <v>15637011</v>
      </c>
      <c r="BE47" s="414"/>
      <c r="BF47" s="414"/>
      <c r="BG47" s="414"/>
      <c r="BH47" s="414"/>
      <c r="BI47" s="414"/>
      <c r="BJ47" s="414"/>
    </row>
    <row r="48" spans="2:62" ht="12.95" customHeight="1">
      <c r="B48" s="14"/>
      <c r="C48" s="14"/>
      <c r="D48" s="14"/>
      <c r="E48" s="14"/>
      <c r="F48" s="679">
        <v>22</v>
      </c>
      <c r="G48" s="679"/>
      <c r="H48" s="14"/>
      <c r="I48" s="14"/>
      <c r="J48" s="14"/>
      <c r="K48" s="32"/>
      <c r="L48" s="414">
        <v>65572</v>
      </c>
      <c r="M48" s="414"/>
      <c r="N48" s="414"/>
      <c r="O48" s="414"/>
      <c r="P48" s="414"/>
      <c r="Q48" s="414"/>
      <c r="R48" s="414"/>
      <c r="S48" s="414"/>
      <c r="T48" s="414"/>
      <c r="U48" s="414">
        <v>2231301</v>
      </c>
      <c r="V48" s="414"/>
      <c r="W48" s="414"/>
      <c r="X48" s="414"/>
      <c r="Y48" s="414"/>
      <c r="Z48" s="414"/>
      <c r="AA48" s="414"/>
      <c r="AB48" s="414">
        <v>56277388</v>
      </c>
      <c r="AC48" s="414"/>
      <c r="AD48" s="414"/>
      <c r="AE48" s="414"/>
      <c r="AF48" s="414"/>
      <c r="AG48" s="414"/>
      <c r="AH48" s="414"/>
      <c r="AI48" s="414">
        <v>46448</v>
      </c>
      <c r="AJ48" s="414"/>
      <c r="AK48" s="414"/>
      <c r="AL48" s="414"/>
      <c r="AM48" s="414"/>
      <c r="AN48" s="414"/>
      <c r="AO48" s="414"/>
      <c r="AP48" s="414">
        <v>23338309</v>
      </c>
      <c r="AQ48" s="414"/>
      <c r="AR48" s="414"/>
      <c r="AS48" s="414"/>
      <c r="AT48" s="414"/>
      <c r="AU48" s="414"/>
      <c r="AV48" s="414"/>
      <c r="AW48" s="414">
        <v>1086224</v>
      </c>
      <c r="AX48" s="414"/>
      <c r="AY48" s="414"/>
      <c r="AZ48" s="414"/>
      <c r="BA48" s="414"/>
      <c r="BB48" s="414"/>
      <c r="BC48" s="414"/>
      <c r="BD48" s="414">
        <v>16546093</v>
      </c>
      <c r="BE48" s="414"/>
      <c r="BF48" s="414"/>
      <c r="BG48" s="414"/>
      <c r="BH48" s="414"/>
      <c r="BI48" s="414"/>
      <c r="BJ48" s="414"/>
    </row>
    <row r="49" spans="2:62" ht="12.95" customHeight="1">
      <c r="B49" s="138"/>
      <c r="C49" s="138"/>
      <c r="D49" s="138"/>
      <c r="E49" s="138"/>
      <c r="F49" s="679">
        <v>23</v>
      </c>
      <c r="G49" s="679"/>
      <c r="H49" s="138"/>
      <c r="I49" s="138"/>
      <c r="J49" s="138"/>
      <c r="K49" s="137"/>
      <c r="L49" s="418">
        <v>68205</v>
      </c>
      <c r="M49" s="418"/>
      <c r="N49" s="418"/>
      <c r="O49" s="418"/>
      <c r="P49" s="418"/>
      <c r="Q49" s="418"/>
      <c r="R49" s="418"/>
      <c r="S49" s="418"/>
      <c r="T49" s="418"/>
      <c r="U49" s="418">
        <v>2353176</v>
      </c>
      <c r="V49" s="418"/>
      <c r="W49" s="418"/>
      <c r="X49" s="418"/>
      <c r="Y49" s="418"/>
      <c r="Z49" s="418"/>
      <c r="AA49" s="418"/>
      <c r="AB49" s="418">
        <v>60385084</v>
      </c>
      <c r="AC49" s="418"/>
      <c r="AD49" s="418"/>
      <c r="AE49" s="418"/>
      <c r="AF49" s="418"/>
      <c r="AG49" s="418"/>
      <c r="AH49" s="418"/>
      <c r="AI49" s="418">
        <v>48449</v>
      </c>
      <c r="AJ49" s="418"/>
      <c r="AK49" s="418"/>
      <c r="AL49" s="418"/>
      <c r="AM49" s="418"/>
      <c r="AN49" s="418"/>
      <c r="AO49" s="418"/>
      <c r="AP49" s="418">
        <v>25081738</v>
      </c>
      <c r="AQ49" s="418"/>
      <c r="AR49" s="418"/>
      <c r="AS49" s="418"/>
      <c r="AT49" s="418"/>
      <c r="AU49" s="418"/>
      <c r="AV49" s="418"/>
      <c r="AW49" s="418">
        <v>1134813</v>
      </c>
      <c r="AX49" s="418"/>
      <c r="AY49" s="418"/>
      <c r="AZ49" s="418"/>
      <c r="BA49" s="418"/>
      <c r="BB49" s="418"/>
      <c r="BC49" s="418"/>
      <c r="BD49" s="418">
        <v>17365890</v>
      </c>
      <c r="BE49" s="418"/>
      <c r="BF49" s="418"/>
      <c r="BG49" s="418"/>
      <c r="BH49" s="418"/>
      <c r="BI49" s="418"/>
      <c r="BJ49" s="418"/>
    </row>
    <row r="50" spans="2:62" ht="12.95" customHeight="1">
      <c r="B50" s="138"/>
      <c r="C50" s="138"/>
      <c r="D50" s="138"/>
      <c r="E50" s="138"/>
      <c r="F50" s="779">
        <v>24</v>
      </c>
      <c r="G50" s="779"/>
      <c r="H50" s="138"/>
      <c r="I50" s="138"/>
      <c r="J50" s="138"/>
      <c r="K50" s="137"/>
      <c r="L50" s="397">
        <v>70652</v>
      </c>
      <c r="M50" s="397"/>
      <c r="N50" s="397"/>
      <c r="O50" s="397"/>
      <c r="P50" s="397"/>
      <c r="Q50" s="397"/>
      <c r="R50" s="397"/>
      <c r="S50" s="397"/>
      <c r="T50" s="397"/>
      <c r="U50" s="397">
        <f>SUM(AI50,AW50,L60,AC60,L69,AC69)</f>
        <v>2473580</v>
      </c>
      <c r="V50" s="397"/>
      <c r="W50" s="397"/>
      <c r="X50" s="397"/>
      <c r="Y50" s="397"/>
      <c r="Z50" s="397"/>
      <c r="AA50" s="397"/>
      <c r="AB50" s="397">
        <f>SUM(AP50,BD50,T60,AK60,BB60,T69,AK69)</f>
        <v>62914675</v>
      </c>
      <c r="AC50" s="397"/>
      <c r="AD50" s="397"/>
      <c r="AE50" s="397"/>
      <c r="AF50" s="397"/>
      <c r="AG50" s="397"/>
      <c r="AH50" s="397"/>
      <c r="AI50" s="397">
        <v>49661</v>
      </c>
      <c r="AJ50" s="397"/>
      <c r="AK50" s="397"/>
      <c r="AL50" s="397"/>
      <c r="AM50" s="397"/>
      <c r="AN50" s="397"/>
      <c r="AO50" s="397"/>
      <c r="AP50" s="397">
        <v>26196999</v>
      </c>
      <c r="AQ50" s="397"/>
      <c r="AR50" s="397"/>
      <c r="AS50" s="397"/>
      <c r="AT50" s="397"/>
      <c r="AU50" s="397"/>
      <c r="AV50" s="397"/>
      <c r="AW50" s="397">
        <v>1179926</v>
      </c>
      <c r="AX50" s="397"/>
      <c r="AY50" s="397"/>
      <c r="AZ50" s="397"/>
      <c r="BA50" s="397"/>
      <c r="BB50" s="397"/>
      <c r="BC50" s="397"/>
      <c r="BD50" s="397">
        <v>18250492</v>
      </c>
      <c r="BE50" s="397"/>
      <c r="BF50" s="397"/>
      <c r="BG50" s="397"/>
      <c r="BH50" s="397"/>
      <c r="BI50" s="397"/>
      <c r="BJ50" s="397"/>
    </row>
    <row r="51" spans="2:62" ht="8.1" customHeight="1">
      <c r="B51" s="134"/>
      <c r="C51" s="134"/>
      <c r="D51" s="134"/>
      <c r="E51" s="134"/>
      <c r="F51" s="146"/>
      <c r="G51" s="146"/>
      <c r="H51" s="134"/>
      <c r="I51" s="134"/>
      <c r="J51" s="134"/>
      <c r="K51" s="135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</row>
    <row r="52" spans="2:62" ht="12.95" customHeight="1"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674" t="s">
        <v>231</v>
      </c>
      <c r="M52" s="674"/>
      <c r="N52" s="674"/>
      <c r="O52" s="674"/>
      <c r="P52" s="674"/>
      <c r="Q52" s="674"/>
      <c r="R52" s="674"/>
      <c r="S52" s="674"/>
      <c r="T52" s="674"/>
      <c r="U52" s="674"/>
      <c r="V52" s="674"/>
      <c r="W52" s="674"/>
      <c r="X52" s="674"/>
      <c r="Y52" s="674"/>
      <c r="Z52" s="674"/>
      <c r="AA52" s="674"/>
      <c r="AB52" s="674"/>
      <c r="AC52" s="674" t="s">
        <v>353</v>
      </c>
      <c r="AD52" s="674"/>
      <c r="AE52" s="674"/>
      <c r="AF52" s="674"/>
      <c r="AG52" s="674"/>
      <c r="AH52" s="674"/>
      <c r="AI52" s="674"/>
      <c r="AJ52" s="674"/>
      <c r="AK52" s="674"/>
      <c r="AL52" s="674"/>
      <c r="AM52" s="674"/>
      <c r="AN52" s="674"/>
      <c r="AO52" s="674"/>
      <c r="AP52" s="674"/>
      <c r="AQ52" s="674"/>
      <c r="AR52" s="674"/>
      <c r="AS52" s="674"/>
      <c r="AT52" s="674" t="s">
        <v>352</v>
      </c>
      <c r="AU52" s="674"/>
      <c r="AV52" s="674"/>
      <c r="AW52" s="674"/>
      <c r="AX52" s="674"/>
      <c r="AY52" s="674"/>
      <c r="AZ52" s="674"/>
      <c r="BA52" s="674"/>
      <c r="BB52" s="674"/>
      <c r="BC52" s="674"/>
      <c r="BD52" s="674"/>
      <c r="BE52" s="674"/>
      <c r="BF52" s="674"/>
      <c r="BG52" s="674"/>
      <c r="BH52" s="674"/>
      <c r="BI52" s="674"/>
      <c r="BJ52" s="676"/>
    </row>
    <row r="53" spans="2:62" ht="12.95" customHeight="1">
      <c r="B53" s="706" t="s">
        <v>1</v>
      </c>
      <c r="C53" s="706"/>
      <c r="D53" s="706"/>
      <c r="E53" s="706"/>
      <c r="F53" s="706"/>
      <c r="G53" s="706"/>
      <c r="H53" s="706"/>
      <c r="I53" s="706"/>
      <c r="J53" s="706"/>
      <c r="K53" s="706"/>
      <c r="L53" s="427" t="s">
        <v>351</v>
      </c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427"/>
      <c r="AA53" s="427"/>
      <c r="AB53" s="427"/>
      <c r="AC53" s="427"/>
      <c r="AD53" s="427"/>
      <c r="AE53" s="427"/>
      <c r="AF53" s="427"/>
      <c r="AG53" s="427"/>
      <c r="AH53" s="427"/>
      <c r="AI53" s="427"/>
      <c r="AJ53" s="427"/>
      <c r="AK53" s="427"/>
      <c r="AL53" s="427"/>
      <c r="AM53" s="427"/>
      <c r="AN53" s="427"/>
      <c r="AO53" s="427"/>
      <c r="AP53" s="427"/>
      <c r="AQ53" s="427"/>
      <c r="AR53" s="427"/>
      <c r="AS53" s="427"/>
      <c r="AT53" s="427"/>
      <c r="AU53" s="427"/>
      <c r="AV53" s="427"/>
      <c r="AW53" s="427"/>
      <c r="AX53" s="427"/>
      <c r="AY53" s="427"/>
      <c r="AZ53" s="427"/>
      <c r="BA53" s="427"/>
      <c r="BB53" s="427"/>
      <c r="BC53" s="427"/>
      <c r="BD53" s="427"/>
      <c r="BE53" s="427"/>
      <c r="BF53" s="427"/>
      <c r="BG53" s="427"/>
      <c r="BH53" s="427"/>
      <c r="BI53" s="427"/>
      <c r="BJ53" s="428"/>
    </row>
    <row r="54" spans="2:62" ht="12.95" customHeight="1"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427" t="s">
        <v>177</v>
      </c>
      <c r="M54" s="427"/>
      <c r="N54" s="427"/>
      <c r="O54" s="427"/>
      <c r="P54" s="427"/>
      <c r="Q54" s="427"/>
      <c r="R54" s="427"/>
      <c r="S54" s="427"/>
      <c r="T54" s="427" t="s">
        <v>348</v>
      </c>
      <c r="U54" s="427"/>
      <c r="V54" s="427"/>
      <c r="W54" s="427"/>
      <c r="X54" s="427"/>
      <c r="Y54" s="427"/>
      <c r="Z54" s="427"/>
      <c r="AA54" s="427"/>
      <c r="AB54" s="427"/>
      <c r="AC54" s="427" t="s">
        <v>177</v>
      </c>
      <c r="AD54" s="427"/>
      <c r="AE54" s="427"/>
      <c r="AF54" s="427"/>
      <c r="AG54" s="427"/>
      <c r="AH54" s="427"/>
      <c r="AI54" s="427"/>
      <c r="AJ54" s="427"/>
      <c r="AK54" s="427" t="s">
        <v>348</v>
      </c>
      <c r="AL54" s="427"/>
      <c r="AM54" s="427"/>
      <c r="AN54" s="427"/>
      <c r="AO54" s="427"/>
      <c r="AP54" s="427"/>
      <c r="AQ54" s="427"/>
      <c r="AR54" s="427"/>
      <c r="AS54" s="427"/>
      <c r="AT54" s="427" t="s">
        <v>177</v>
      </c>
      <c r="AU54" s="427"/>
      <c r="AV54" s="427"/>
      <c r="AW54" s="427"/>
      <c r="AX54" s="427"/>
      <c r="AY54" s="427"/>
      <c r="AZ54" s="427"/>
      <c r="BA54" s="427"/>
      <c r="BB54" s="427" t="s">
        <v>348</v>
      </c>
      <c r="BC54" s="427"/>
      <c r="BD54" s="427"/>
      <c r="BE54" s="427"/>
      <c r="BF54" s="427"/>
      <c r="BG54" s="427"/>
      <c r="BH54" s="427"/>
      <c r="BI54" s="427"/>
      <c r="BJ54" s="428"/>
    </row>
    <row r="55" spans="2:62" ht="9.9499999999999993" customHeight="1">
      <c r="B55" s="143"/>
      <c r="C55" s="143"/>
      <c r="D55" s="143"/>
      <c r="E55" s="143"/>
      <c r="F55" s="143"/>
      <c r="G55" s="143"/>
      <c r="H55" s="143"/>
      <c r="I55" s="143"/>
      <c r="J55" s="143"/>
      <c r="K55" s="142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679" t="s">
        <v>157</v>
      </c>
      <c r="AA55" s="679"/>
      <c r="AB55" s="679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679" t="s">
        <v>157</v>
      </c>
      <c r="AR55" s="679"/>
      <c r="AS55" s="679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679" t="s">
        <v>157</v>
      </c>
      <c r="BI55" s="679"/>
      <c r="BJ55" s="679"/>
    </row>
    <row r="56" spans="2:62" ht="12.95" customHeight="1">
      <c r="B56" s="706" t="s">
        <v>162</v>
      </c>
      <c r="C56" s="706"/>
      <c r="D56" s="706"/>
      <c r="E56" s="706"/>
      <c r="F56" s="679">
        <v>20</v>
      </c>
      <c r="G56" s="679"/>
      <c r="H56" s="706" t="s">
        <v>161</v>
      </c>
      <c r="I56" s="706"/>
      <c r="J56" s="706"/>
      <c r="K56" s="707"/>
      <c r="L56" s="402">
        <v>127014</v>
      </c>
      <c r="M56" s="402"/>
      <c r="N56" s="402"/>
      <c r="O56" s="402"/>
      <c r="P56" s="402"/>
      <c r="Q56" s="402"/>
      <c r="R56" s="402"/>
      <c r="S56" s="402"/>
      <c r="T56" s="402">
        <v>1890876</v>
      </c>
      <c r="U56" s="402"/>
      <c r="V56" s="402"/>
      <c r="W56" s="402"/>
      <c r="X56" s="402"/>
      <c r="Y56" s="402"/>
      <c r="Z56" s="402"/>
      <c r="AA56" s="402"/>
      <c r="AB56" s="402"/>
      <c r="AC56" s="402">
        <v>620846</v>
      </c>
      <c r="AD56" s="402"/>
      <c r="AE56" s="402"/>
      <c r="AF56" s="402"/>
      <c r="AG56" s="402"/>
      <c r="AH56" s="402"/>
      <c r="AI56" s="402"/>
      <c r="AJ56" s="402"/>
      <c r="AK56" s="402">
        <v>8455230</v>
      </c>
      <c r="AL56" s="402"/>
      <c r="AM56" s="402"/>
      <c r="AN56" s="402"/>
      <c r="AO56" s="402"/>
      <c r="AP56" s="402"/>
      <c r="AQ56" s="402"/>
      <c r="AR56" s="402"/>
      <c r="AS56" s="402"/>
      <c r="AT56" s="402">
        <v>35812</v>
      </c>
      <c r="AU56" s="402"/>
      <c r="AV56" s="402"/>
      <c r="AW56" s="402"/>
      <c r="AX56" s="402"/>
      <c r="AY56" s="402"/>
      <c r="AZ56" s="402"/>
      <c r="BA56" s="402"/>
      <c r="BB56" s="402">
        <v>1148495</v>
      </c>
      <c r="BC56" s="402"/>
      <c r="BD56" s="402"/>
      <c r="BE56" s="402"/>
      <c r="BF56" s="402"/>
      <c r="BG56" s="402"/>
      <c r="BH56" s="402"/>
      <c r="BI56" s="402"/>
      <c r="BJ56" s="402"/>
    </row>
    <row r="57" spans="2:62" ht="12.95" customHeight="1">
      <c r="B57" s="14"/>
      <c r="C57" s="14"/>
      <c r="D57" s="14"/>
      <c r="E57" s="14"/>
      <c r="F57" s="679">
        <v>21</v>
      </c>
      <c r="G57" s="679"/>
      <c r="H57" s="14"/>
      <c r="I57" s="14"/>
      <c r="J57" s="14"/>
      <c r="K57" s="32"/>
      <c r="L57" s="414">
        <v>149893</v>
      </c>
      <c r="M57" s="414"/>
      <c r="N57" s="414"/>
      <c r="O57" s="414"/>
      <c r="P57" s="414"/>
      <c r="Q57" s="414"/>
      <c r="R57" s="414"/>
      <c r="S57" s="414"/>
      <c r="T57" s="414">
        <v>2149434</v>
      </c>
      <c r="U57" s="414"/>
      <c r="V57" s="414"/>
      <c r="W57" s="414"/>
      <c r="X57" s="414"/>
      <c r="Y57" s="414"/>
      <c r="Z57" s="414"/>
      <c r="AA57" s="414"/>
      <c r="AB57" s="414"/>
      <c r="AC57" s="414">
        <v>721667</v>
      </c>
      <c r="AD57" s="414"/>
      <c r="AE57" s="414"/>
      <c r="AF57" s="414"/>
      <c r="AG57" s="414"/>
      <c r="AH57" s="414"/>
      <c r="AI57" s="414"/>
      <c r="AJ57" s="414"/>
      <c r="AK57" s="414">
        <v>10196059</v>
      </c>
      <c r="AL57" s="414"/>
      <c r="AM57" s="414"/>
      <c r="AN57" s="414"/>
      <c r="AO57" s="414"/>
      <c r="AP57" s="414"/>
      <c r="AQ57" s="414"/>
      <c r="AR57" s="414"/>
      <c r="AS57" s="414"/>
      <c r="AT57" s="414">
        <v>40317</v>
      </c>
      <c r="AU57" s="414"/>
      <c r="AV57" s="414"/>
      <c r="AW57" s="414"/>
      <c r="AX57" s="414"/>
      <c r="AY57" s="414"/>
      <c r="AZ57" s="414"/>
      <c r="BA57" s="414"/>
      <c r="BB57" s="414">
        <v>1286661</v>
      </c>
      <c r="BC57" s="414"/>
      <c r="BD57" s="414"/>
      <c r="BE57" s="414"/>
      <c r="BF57" s="414"/>
      <c r="BG57" s="414"/>
      <c r="BH57" s="414"/>
      <c r="BI57" s="414"/>
      <c r="BJ57" s="414"/>
    </row>
    <row r="58" spans="2:62" ht="12.95" customHeight="1">
      <c r="B58" s="14"/>
      <c r="C58" s="14"/>
      <c r="D58" s="14"/>
      <c r="E58" s="14"/>
      <c r="F58" s="679">
        <v>22</v>
      </c>
      <c r="G58" s="679"/>
      <c r="H58" s="14"/>
      <c r="I58" s="14"/>
      <c r="J58" s="14"/>
      <c r="K58" s="32"/>
      <c r="L58" s="414">
        <v>162422</v>
      </c>
      <c r="M58" s="414"/>
      <c r="N58" s="414"/>
      <c r="O58" s="414"/>
      <c r="P58" s="414"/>
      <c r="Q58" s="414"/>
      <c r="R58" s="414"/>
      <c r="S58" s="414"/>
      <c r="T58" s="414">
        <v>2360300</v>
      </c>
      <c r="U58" s="414"/>
      <c r="V58" s="414"/>
      <c r="W58" s="414"/>
      <c r="X58" s="414"/>
      <c r="Y58" s="414"/>
      <c r="Z58" s="414"/>
      <c r="AA58" s="414"/>
      <c r="AB58" s="414"/>
      <c r="AC58" s="414">
        <v>765131</v>
      </c>
      <c r="AD58" s="414"/>
      <c r="AE58" s="414"/>
      <c r="AF58" s="414"/>
      <c r="AG58" s="414"/>
      <c r="AH58" s="414"/>
      <c r="AI58" s="414"/>
      <c r="AJ58" s="414"/>
      <c r="AK58" s="414">
        <v>10667449</v>
      </c>
      <c r="AL58" s="414"/>
      <c r="AM58" s="414"/>
      <c r="AN58" s="414"/>
      <c r="AO58" s="414"/>
      <c r="AP58" s="414"/>
      <c r="AQ58" s="414"/>
      <c r="AR58" s="414"/>
      <c r="AS58" s="414"/>
      <c r="AT58" s="414">
        <v>43036</v>
      </c>
      <c r="AU58" s="414"/>
      <c r="AV58" s="414"/>
      <c r="AW58" s="414"/>
      <c r="AX58" s="414"/>
      <c r="AY58" s="414"/>
      <c r="AZ58" s="414"/>
      <c r="BA58" s="414"/>
      <c r="BB58" s="414">
        <v>1359892</v>
      </c>
      <c r="BC58" s="414"/>
      <c r="BD58" s="414"/>
      <c r="BE58" s="414"/>
      <c r="BF58" s="414"/>
      <c r="BG58" s="414"/>
      <c r="BH58" s="414"/>
      <c r="BI58" s="414"/>
      <c r="BJ58" s="414"/>
    </row>
    <row r="59" spans="2:62" ht="12.95" customHeight="1">
      <c r="B59" s="138"/>
      <c r="C59" s="138"/>
      <c r="D59" s="138"/>
      <c r="E59" s="138"/>
      <c r="F59" s="679">
        <v>23</v>
      </c>
      <c r="G59" s="679"/>
      <c r="H59" s="138"/>
      <c r="I59" s="138"/>
      <c r="J59" s="138"/>
      <c r="K59" s="137"/>
      <c r="L59" s="418">
        <v>177420</v>
      </c>
      <c r="M59" s="418"/>
      <c r="N59" s="418"/>
      <c r="O59" s="418"/>
      <c r="P59" s="418"/>
      <c r="Q59" s="418"/>
      <c r="R59" s="418"/>
      <c r="S59" s="418"/>
      <c r="T59" s="418">
        <v>2525648</v>
      </c>
      <c r="U59" s="418"/>
      <c r="V59" s="418"/>
      <c r="W59" s="418"/>
      <c r="X59" s="418"/>
      <c r="Y59" s="418"/>
      <c r="Z59" s="418"/>
      <c r="AA59" s="418"/>
      <c r="AB59" s="418"/>
      <c r="AC59" s="418">
        <v>815235</v>
      </c>
      <c r="AD59" s="418"/>
      <c r="AE59" s="418"/>
      <c r="AF59" s="418"/>
      <c r="AG59" s="418"/>
      <c r="AH59" s="418"/>
      <c r="AI59" s="418"/>
      <c r="AJ59" s="418"/>
      <c r="AK59" s="418">
        <v>11817964</v>
      </c>
      <c r="AL59" s="418"/>
      <c r="AM59" s="418"/>
      <c r="AN59" s="418"/>
      <c r="AO59" s="418"/>
      <c r="AP59" s="418"/>
      <c r="AQ59" s="418"/>
      <c r="AR59" s="418"/>
      <c r="AS59" s="418"/>
      <c r="AT59" s="418">
        <v>45083</v>
      </c>
      <c r="AU59" s="418"/>
      <c r="AV59" s="418"/>
      <c r="AW59" s="418"/>
      <c r="AX59" s="418"/>
      <c r="AY59" s="418"/>
      <c r="AZ59" s="418"/>
      <c r="BA59" s="418"/>
      <c r="BB59" s="418">
        <v>1397121</v>
      </c>
      <c r="BC59" s="418"/>
      <c r="BD59" s="418"/>
      <c r="BE59" s="418"/>
      <c r="BF59" s="418"/>
      <c r="BG59" s="418"/>
      <c r="BH59" s="418"/>
      <c r="BI59" s="418"/>
      <c r="BJ59" s="418"/>
    </row>
    <row r="60" spans="2:62" ht="12.95" customHeight="1">
      <c r="B60" s="138"/>
      <c r="C60" s="138"/>
      <c r="D60" s="138"/>
      <c r="E60" s="138"/>
      <c r="F60" s="779">
        <v>24</v>
      </c>
      <c r="G60" s="779"/>
      <c r="H60" s="138"/>
      <c r="I60" s="138"/>
      <c r="J60" s="138"/>
      <c r="K60" s="137"/>
      <c r="L60" s="397">
        <v>190339</v>
      </c>
      <c r="M60" s="397"/>
      <c r="N60" s="397"/>
      <c r="O60" s="397"/>
      <c r="P60" s="397"/>
      <c r="Q60" s="397"/>
      <c r="R60" s="397"/>
      <c r="S60" s="397"/>
      <c r="T60" s="397">
        <v>2671925</v>
      </c>
      <c r="U60" s="397"/>
      <c r="V60" s="397"/>
      <c r="W60" s="397"/>
      <c r="X60" s="397"/>
      <c r="Y60" s="397"/>
      <c r="Z60" s="397"/>
      <c r="AA60" s="397"/>
      <c r="AB60" s="397"/>
      <c r="AC60" s="397">
        <v>858470</v>
      </c>
      <c r="AD60" s="397"/>
      <c r="AE60" s="397"/>
      <c r="AF60" s="397"/>
      <c r="AG60" s="397"/>
      <c r="AH60" s="397"/>
      <c r="AI60" s="397"/>
      <c r="AJ60" s="397"/>
      <c r="AK60" s="397">
        <v>12115320</v>
      </c>
      <c r="AL60" s="397"/>
      <c r="AM60" s="397"/>
      <c r="AN60" s="397"/>
      <c r="AO60" s="397"/>
      <c r="AP60" s="397"/>
      <c r="AQ60" s="397"/>
      <c r="AR60" s="397"/>
      <c r="AS60" s="397"/>
      <c r="AT60" s="397">
        <v>46297</v>
      </c>
      <c r="AU60" s="397"/>
      <c r="AV60" s="397"/>
      <c r="AW60" s="397"/>
      <c r="AX60" s="397"/>
      <c r="AY60" s="397"/>
      <c r="AZ60" s="397"/>
      <c r="BA60" s="397"/>
      <c r="BB60" s="397">
        <v>1400892</v>
      </c>
      <c r="BC60" s="397"/>
      <c r="BD60" s="397"/>
      <c r="BE60" s="397"/>
      <c r="BF60" s="397"/>
      <c r="BG60" s="397"/>
      <c r="BH60" s="397"/>
      <c r="BI60" s="397"/>
      <c r="BJ60" s="397"/>
    </row>
    <row r="61" spans="2:62" ht="8.1" customHeight="1">
      <c r="B61" s="134"/>
      <c r="C61" s="134"/>
      <c r="D61" s="134"/>
      <c r="E61" s="134"/>
      <c r="F61" s="134"/>
      <c r="G61" s="134"/>
      <c r="H61" s="134"/>
      <c r="I61" s="134"/>
      <c r="J61" s="134"/>
      <c r="K61" s="13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</row>
    <row r="62" spans="2:62" ht="12.95" customHeight="1">
      <c r="B62" s="703" t="s">
        <v>1</v>
      </c>
      <c r="C62" s="703"/>
      <c r="D62" s="703"/>
      <c r="E62" s="703"/>
      <c r="F62" s="703"/>
      <c r="G62" s="703"/>
      <c r="H62" s="703"/>
      <c r="I62" s="703"/>
      <c r="J62" s="703"/>
      <c r="K62" s="703"/>
      <c r="L62" s="674" t="s">
        <v>350</v>
      </c>
      <c r="M62" s="674"/>
      <c r="N62" s="674"/>
      <c r="O62" s="674"/>
      <c r="P62" s="674"/>
      <c r="Q62" s="674"/>
      <c r="R62" s="674"/>
      <c r="S62" s="674"/>
      <c r="T62" s="674"/>
      <c r="U62" s="674"/>
      <c r="V62" s="674"/>
      <c r="W62" s="674"/>
      <c r="X62" s="674"/>
      <c r="Y62" s="674"/>
      <c r="Z62" s="674"/>
      <c r="AA62" s="674"/>
      <c r="AB62" s="674"/>
      <c r="AC62" s="674" t="s">
        <v>349</v>
      </c>
      <c r="AD62" s="674"/>
      <c r="AE62" s="674"/>
      <c r="AF62" s="674"/>
      <c r="AG62" s="674"/>
      <c r="AH62" s="674"/>
      <c r="AI62" s="674"/>
      <c r="AJ62" s="674"/>
      <c r="AK62" s="674"/>
      <c r="AL62" s="674"/>
      <c r="AM62" s="674"/>
      <c r="AN62" s="674"/>
      <c r="AO62" s="674"/>
      <c r="AP62" s="674"/>
      <c r="AQ62" s="674"/>
      <c r="AR62" s="674"/>
      <c r="AS62" s="676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</row>
    <row r="63" spans="2:62" ht="12.95" customHeight="1">
      <c r="B63" s="643"/>
      <c r="C63" s="643"/>
      <c r="D63" s="643"/>
      <c r="E63" s="643"/>
      <c r="F63" s="643"/>
      <c r="G63" s="643"/>
      <c r="H63" s="643"/>
      <c r="I63" s="643"/>
      <c r="J63" s="643"/>
      <c r="K63" s="643"/>
      <c r="L63" s="427" t="s">
        <v>177</v>
      </c>
      <c r="M63" s="427"/>
      <c r="N63" s="427"/>
      <c r="O63" s="427"/>
      <c r="P63" s="427"/>
      <c r="Q63" s="427"/>
      <c r="R63" s="427"/>
      <c r="S63" s="427"/>
      <c r="T63" s="427" t="s">
        <v>348</v>
      </c>
      <c r="U63" s="427"/>
      <c r="V63" s="427"/>
      <c r="W63" s="427"/>
      <c r="X63" s="427"/>
      <c r="Y63" s="427"/>
      <c r="Z63" s="427"/>
      <c r="AA63" s="427"/>
      <c r="AB63" s="427"/>
      <c r="AC63" s="427" t="s">
        <v>177</v>
      </c>
      <c r="AD63" s="427"/>
      <c r="AE63" s="427"/>
      <c r="AF63" s="427"/>
      <c r="AG63" s="427"/>
      <c r="AH63" s="427"/>
      <c r="AI63" s="427"/>
      <c r="AJ63" s="427"/>
      <c r="AK63" s="427" t="s">
        <v>348</v>
      </c>
      <c r="AL63" s="427"/>
      <c r="AM63" s="427"/>
      <c r="AN63" s="427"/>
      <c r="AO63" s="427"/>
      <c r="AP63" s="427"/>
      <c r="AQ63" s="427"/>
      <c r="AR63" s="427"/>
      <c r="AS63" s="428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</row>
    <row r="64" spans="2:62" ht="9.9499999999999993" customHeight="1">
      <c r="B64" s="131"/>
      <c r="C64" s="131"/>
      <c r="D64" s="131"/>
      <c r="E64" s="131"/>
      <c r="F64" s="131"/>
      <c r="G64" s="131"/>
      <c r="H64" s="143"/>
      <c r="I64" s="143"/>
      <c r="J64" s="143"/>
      <c r="K64" s="142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679" t="s">
        <v>157</v>
      </c>
      <c r="AA64" s="679"/>
      <c r="AB64" s="679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679" t="s">
        <v>157</v>
      </c>
      <c r="AR64" s="679"/>
      <c r="AS64" s="679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</row>
    <row r="65" spans="2:62" ht="12.95" customHeight="1">
      <c r="B65" s="706" t="s">
        <v>162</v>
      </c>
      <c r="C65" s="706"/>
      <c r="D65" s="706"/>
      <c r="E65" s="706"/>
      <c r="F65" s="679">
        <v>20</v>
      </c>
      <c r="G65" s="679"/>
      <c r="H65" s="706" t="s">
        <v>161</v>
      </c>
      <c r="I65" s="706"/>
      <c r="J65" s="706"/>
      <c r="K65" s="707"/>
      <c r="L65" s="402">
        <v>1917</v>
      </c>
      <c r="M65" s="402"/>
      <c r="N65" s="402"/>
      <c r="O65" s="402"/>
      <c r="P65" s="402"/>
      <c r="Q65" s="402"/>
      <c r="R65" s="402"/>
      <c r="S65" s="402"/>
      <c r="T65" s="402">
        <v>124298</v>
      </c>
      <c r="U65" s="402"/>
      <c r="V65" s="402"/>
      <c r="W65" s="402"/>
      <c r="X65" s="402"/>
      <c r="Y65" s="402"/>
      <c r="Z65" s="402"/>
      <c r="AA65" s="402"/>
      <c r="AB65" s="402"/>
      <c r="AC65" s="402">
        <v>104922</v>
      </c>
      <c r="AD65" s="402"/>
      <c r="AE65" s="402"/>
      <c r="AF65" s="402"/>
      <c r="AG65" s="402"/>
      <c r="AH65" s="402"/>
      <c r="AI65" s="402"/>
      <c r="AJ65" s="402"/>
      <c r="AK65" s="402">
        <v>1165182</v>
      </c>
      <c r="AL65" s="402"/>
      <c r="AM65" s="402"/>
      <c r="AN65" s="402"/>
      <c r="AO65" s="402"/>
      <c r="AP65" s="402"/>
      <c r="AQ65" s="402"/>
      <c r="AR65" s="402"/>
      <c r="AS65" s="402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</row>
    <row r="66" spans="2:62" ht="12.95" customHeight="1">
      <c r="B66" s="140"/>
      <c r="C66" s="140"/>
      <c r="D66" s="140"/>
      <c r="E66" s="140"/>
      <c r="F66" s="679">
        <v>21</v>
      </c>
      <c r="G66" s="679"/>
      <c r="H66" s="14"/>
      <c r="I66" s="14"/>
      <c r="J66" s="14"/>
      <c r="K66" s="32"/>
      <c r="L66" s="414">
        <v>2158</v>
      </c>
      <c r="M66" s="414"/>
      <c r="N66" s="414"/>
      <c r="O66" s="414"/>
      <c r="P66" s="414"/>
      <c r="Q66" s="414"/>
      <c r="R66" s="414"/>
      <c r="S66" s="414"/>
      <c r="T66" s="414">
        <v>138848</v>
      </c>
      <c r="U66" s="414"/>
      <c r="V66" s="414"/>
      <c r="W66" s="414"/>
      <c r="X66" s="414"/>
      <c r="Y66" s="414"/>
      <c r="Z66" s="414"/>
      <c r="AA66" s="414"/>
      <c r="AB66" s="414"/>
      <c r="AC66" s="414">
        <v>148011</v>
      </c>
      <c r="AD66" s="414"/>
      <c r="AE66" s="414"/>
      <c r="AF66" s="414"/>
      <c r="AG66" s="414"/>
      <c r="AH66" s="414"/>
      <c r="AI66" s="414"/>
      <c r="AJ66" s="414"/>
      <c r="AK66" s="414">
        <v>1708471</v>
      </c>
      <c r="AL66" s="414"/>
      <c r="AM66" s="414"/>
      <c r="AN66" s="414"/>
      <c r="AO66" s="414"/>
      <c r="AP66" s="414"/>
      <c r="AQ66" s="414"/>
      <c r="AR66" s="414"/>
      <c r="AS66" s="414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</row>
    <row r="67" spans="2:62" ht="12.95" customHeight="1">
      <c r="B67" s="140"/>
      <c r="C67" s="140"/>
      <c r="D67" s="140"/>
      <c r="E67" s="140"/>
      <c r="F67" s="679">
        <v>22</v>
      </c>
      <c r="G67" s="679"/>
      <c r="H67" s="14"/>
      <c r="I67" s="14"/>
      <c r="J67" s="14"/>
      <c r="K67" s="32"/>
      <c r="L67" s="414">
        <v>2241</v>
      </c>
      <c r="M67" s="414"/>
      <c r="N67" s="414"/>
      <c r="O67" s="414"/>
      <c r="P67" s="414"/>
      <c r="Q67" s="414"/>
      <c r="R67" s="414"/>
      <c r="S67" s="414"/>
      <c r="T67" s="414">
        <v>158266</v>
      </c>
      <c r="U67" s="414"/>
      <c r="V67" s="414"/>
      <c r="W67" s="414"/>
      <c r="X67" s="414"/>
      <c r="Y67" s="414"/>
      <c r="Z67" s="414"/>
      <c r="AA67" s="414"/>
      <c r="AB67" s="414"/>
      <c r="AC67" s="414">
        <v>168835</v>
      </c>
      <c r="AD67" s="414"/>
      <c r="AE67" s="414"/>
      <c r="AF67" s="414"/>
      <c r="AG67" s="414"/>
      <c r="AH67" s="414"/>
      <c r="AI67" s="414"/>
      <c r="AJ67" s="414"/>
      <c r="AK67" s="414">
        <v>1847079</v>
      </c>
      <c r="AL67" s="414"/>
      <c r="AM67" s="414"/>
      <c r="AN67" s="414"/>
      <c r="AO67" s="414"/>
      <c r="AP67" s="414"/>
      <c r="AQ67" s="414"/>
      <c r="AR67" s="414"/>
      <c r="AS67" s="414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</row>
    <row r="68" spans="2:62" ht="12.95" customHeight="1">
      <c r="B68" s="138"/>
      <c r="C68" s="138"/>
      <c r="D68" s="138"/>
      <c r="E68" s="138"/>
      <c r="F68" s="679">
        <v>23</v>
      </c>
      <c r="G68" s="679"/>
      <c r="H68" s="138"/>
      <c r="I68" s="138"/>
      <c r="J68" s="138"/>
      <c r="K68" s="137"/>
      <c r="L68" s="418">
        <v>2654</v>
      </c>
      <c r="M68" s="418"/>
      <c r="N68" s="418"/>
      <c r="O68" s="418"/>
      <c r="P68" s="418"/>
      <c r="Q68" s="418"/>
      <c r="R68" s="418"/>
      <c r="S68" s="418"/>
      <c r="T68" s="418">
        <v>189808</v>
      </c>
      <c r="U68" s="418"/>
      <c r="V68" s="418"/>
      <c r="W68" s="418"/>
      <c r="X68" s="418"/>
      <c r="Y68" s="418"/>
      <c r="Z68" s="418"/>
      <c r="AA68" s="418"/>
      <c r="AB68" s="418"/>
      <c r="AC68" s="418">
        <v>174605</v>
      </c>
      <c r="AD68" s="418"/>
      <c r="AE68" s="418"/>
      <c r="AF68" s="418"/>
      <c r="AG68" s="418"/>
      <c r="AH68" s="418"/>
      <c r="AI68" s="418"/>
      <c r="AJ68" s="418"/>
      <c r="AK68" s="418">
        <v>2006915</v>
      </c>
      <c r="AL68" s="418"/>
      <c r="AM68" s="418"/>
      <c r="AN68" s="418"/>
      <c r="AO68" s="418"/>
      <c r="AP68" s="418"/>
      <c r="AQ68" s="418"/>
      <c r="AR68" s="418"/>
      <c r="AS68" s="418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</row>
    <row r="69" spans="2:62" ht="12.95" customHeight="1">
      <c r="B69" s="138"/>
      <c r="C69" s="138"/>
      <c r="D69" s="138"/>
      <c r="E69" s="138"/>
      <c r="F69" s="779">
        <v>24</v>
      </c>
      <c r="G69" s="779"/>
      <c r="H69" s="138"/>
      <c r="I69" s="138"/>
      <c r="J69" s="138"/>
      <c r="K69" s="137"/>
      <c r="L69" s="397">
        <v>2791</v>
      </c>
      <c r="M69" s="397"/>
      <c r="N69" s="397"/>
      <c r="O69" s="397"/>
      <c r="P69" s="397"/>
      <c r="Q69" s="397"/>
      <c r="R69" s="397"/>
      <c r="S69" s="397"/>
      <c r="T69" s="397">
        <v>222920</v>
      </c>
      <c r="U69" s="397"/>
      <c r="V69" s="397"/>
      <c r="W69" s="397"/>
      <c r="X69" s="397"/>
      <c r="Y69" s="397"/>
      <c r="Z69" s="397"/>
      <c r="AA69" s="397"/>
      <c r="AB69" s="397"/>
      <c r="AC69" s="397">
        <v>192393</v>
      </c>
      <c r="AD69" s="397"/>
      <c r="AE69" s="397"/>
      <c r="AF69" s="397"/>
      <c r="AG69" s="397"/>
      <c r="AH69" s="397"/>
      <c r="AI69" s="397"/>
      <c r="AJ69" s="397"/>
      <c r="AK69" s="397">
        <v>2056127</v>
      </c>
      <c r="AL69" s="397"/>
      <c r="AM69" s="397"/>
      <c r="AN69" s="397"/>
      <c r="AO69" s="397"/>
      <c r="AP69" s="397"/>
      <c r="AQ69" s="397"/>
      <c r="AR69" s="397"/>
      <c r="AS69" s="397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</row>
    <row r="70" spans="2:62" ht="8.1" customHeight="1">
      <c r="B70" s="134"/>
      <c r="C70" s="134"/>
      <c r="D70" s="134"/>
      <c r="E70" s="134"/>
      <c r="F70" s="134"/>
      <c r="G70" s="134"/>
      <c r="H70" s="134"/>
      <c r="I70" s="134"/>
      <c r="J70" s="134"/>
      <c r="K70" s="135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</row>
    <row r="71" spans="2:62" ht="12" customHeight="1">
      <c r="B71" s="131"/>
      <c r="C71" s="782" t="s">
        <v>8</v>
      </c>
      <c r="D71" s="782"/>
      <c r="E71" s="130" t="s">
        <v>159</v>
      </c>
      <c r="F71" s="783">
        <v>-1</v>
      </c>
      <c r="G71" s="783"/>
      <c r="H71" s="129" t="s">
        <v>347</v>
      </c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</row>
    <row r="72" spans="2:62" ht="12" customHeight="1">
      <c r="B72" s="131"/>
      <c r="C72" s="133"/>
      <c r="D72" s="133"/>
      <c r="E72" s="130"/>
      <c r="F72" s="781">
        <v>-2</v>
      </c>
      <c r="G72" s="781"/>
      <c r="H72" s="129" t="s">
        <v>447</v>
      </c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</row>
    <row r="73" spans="2:62" ht="12" customHeight="1">
      <c r="B73" s="131"/>
      <c r="C73" s="132"/>
      <c r="D73" s="132"/>
      <c r="E73" s="129"/>
      <c r="F73" s="781">
        <v>-3</v>
      </c>
      <c r="G73" s="781"/>
      <c r="H73" s="131" t="s">
        <v>346</v>
      </c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</row>
    <row r="74" spans="2:62" ht="12" customHeight="1">
      <c r="B74" s="131"/>
      <c r="C74" s="132"/>
      <c r="D74" s="132"/>
      <c r="E74" s="129"/>
      <c r="F74" s="781">
        <v>-4</v>
      </c>
      <c r="G74" s="781"/>
      <c r="H74" s="131" t="s">
        <v>345</v>
      </c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</row>
    <row r="75" spans="2:62" ht="12" customHeight="1">
      <c r="B75" s="131"/>
      <c r="C75" s="132"/>
      <c r="D75" s="132"/>
      <c r="E75" s="129"/>
      <c r="F75" s="781">
        <v>-5</v>
      </c>
      <c r="G75" s="781"/>
      <c r="H75" s="131" t="s">
        <v>344</v>
      </c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</row>
    <row r="76" spans="2:62" ht="12" customHeight="1">
      <c r="B76" s="552" t="s">
        <v>9</v>
      </c>
      <c r="C76" s="552"/>
      <c r="D76" s="552"/>
      <c r="E76" s="130" t="s">
        <v>159</v>
      </c>
      <c r="F76" s="129" t="s">
        <v>158</v>
      </c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</row>
  </sheetData>
  <mergeCells count="329">
    <mergeCell ref="F75:G75"/>
    <mergeCell ref="B76:D76"/>
    <mergeCell ref="F68:G68"/>
    <mergeCell ref="C71:D71"/>
    <mergeCell ref="F71:G71"/>
    <mergeCell ref="F69:G69"/>
    <mergeCell ref="L69:S69"/>
    <mergeCell ref="T69:AB69"/>
    <mergeCell ref="AC69:AJ69"/>
    <mergeCell ref="F72:G72"/>
    <mergeCell ref="F73:G73"/>
    <mergeCell ref="F74:G74"/>
    <mergeCell ref="F67:G67"/>
    <mergeCell ref="L67:S67"/>
    <mergeCell ref="T67:AB67"/>
    <mergeCell ref="AC67:AJ67"/>
    <mergeCell ref="AK67:AS67"/>
    <mergeCell ref="L68:S68"/>
    <mergeCell ref="T68:AB68"/>
    <mergeCell ref="AC68:AJ68"/>
    <mergeCell ref="AK68:AS68"/>
    <mergeCell ref="B65:E65"/>
    <mergeCell ref="F65:G65"/>
    <mergeCell ref="H65:K65"/>
    <mergeCell ref="L65:S65"/>
    <mergeCell ref="T65:AB65"/>
    <mergeCell ref="AC65:AJ65"/>
    <mergeCell ref="AK65:AS65"/>
    <mergeCell ref="F66:G66"/>
    <mergeCell ref="L66:S66"/>
    <mergeCell ref="T66:AB66"/>
    <mergeCell ref="AC66:AJ66"/>
    <mergeCell ref="AK66:AS66"/>
    <mergeCell ref="B62:K63"/>
    <mergeCell ref="L62:AB62"/>
    <mergeCell ref="AC62:AS62"/>
    <mergeCell ref="L63:S63"/>
    <mergeCell ref="T63:AB63"/>
    <mergeCell ref="AC63:AJ63"/>
    <mergeCell ref="AK63:AS63"/>
    <mergeCell ref="Z64:AB64"/>
    <mergeCell ref="AQ64:AS64"/>
    <mergeCell ref="BB58:BJ58"/>
    <mergeCell ref="Z55:AB55"/>
    <mergeCell ref="AQ55:AS55"/>
    <mergeCell ref="BH55:BJ55"/>
    <mergeCell ref="AT57:BA57"/>
    <mergeCell ref="F59:G59"/>
    <mergeCell ref="L59:S59"/>
    <mergeCell ref="T59:AB59"/>
    <mergeCell ref="AC59:AJ59"/>
    <mergeCell ref="AK59:AS59"/>
    <mergeCell ref="AT59:BA59"/>
    <mergeCell ref="BB59:BJ59"/>
    <mergeCell ref="F58:G58"/>
    <mergeCell ref="L58:S58"/>
    <mergeCell ref="T58:AB58"/>
    <mergeCell ref="AC58:AJ58"/>
    <mergeCell ref="AK58:AS58"/>
    <mergeCell ref="AT58:BA58"/>
    <mergeCell ref="F57:G57"/>
    <mergeCell ref="L57:S57"/>
    <mergeCell ref="T57:AB57"/>
    <mergeCell ref="AC57:AJ57"/>
    <mergeCell ref="AK57:AS57"/>
    <mergeCell ref="BB57:BJ57"/>
    <mergeCell ref="L52:AB52"/>
    <mergeCell ref="AC52:AS53"/>
    <mergeCell ref="AT52:BJ53"/>
    <mergeCell ref="B53:K53"/>
    <mergeCell ref="L53:AB53"/>
    <mergeCell ref="F49:G49"/>
    <mergeCell ref="L49:T49"/>
    <mergeCell ref="U49:AA49"/>
    <mergeCell ref="AK54:AS54"/>
    <mergeCell ref="AT54:BA54"/>
    <mergeCell ref="BB54:BJ54"/>
    <mergeCell ref="AB49:AH49"/>
    <mergeCell ref="AI49:AO49"/>
    <mergeCell ref="AP49:AV49"/>
    <mergeCell ref="AW49:BC49"/>
    <mergeCell ref="BD49:BJ49"/>
    <mergeCell ref="B56:E56"/>
    <mergeCell ref="F56:G56"/>
    <mergeCell ref="H56:K56"/>
    <mergeCell ref="L56:S56"/>
    <mergeCell ref="T56:AB56"/>
    <mergeCell ref="AT56:BA56"/>
    <mergeCell ref="AK56:AS56"/>
    <mergeCell ref="AC56:AJ56"/>
    <mergeCell ref="BB56:BJ56"/>
    <mergeCell ref="F47:G47"/>
    <mergeCell ref="L47:T47"/>
    <mergeCell ref="U47:AA47"/>
    <mergeCell ref="AB47:AH47"/>
    <mergeCell ref="AI47:AO47"/>
    <mergeCell ref="AP47:AV47"/>
    <mergeCell ref="AW47:BC47"/>
    <mergeCell ref="BD47:BJ47"/>
    <mergeCell ref="F48:G48"/>
    <mergeCell ref="L48:T48"/>
    <mergeCell ref="U48:AA48"/>
    <mergeCell ref="AB48:AH48"/>
    <mergeCell ref="AI48:AO48"/>
    <mergeCell ref="AP48:AV48"/>
    <mergeCell ref="AW48:BC48"/>
    <mergeCell ref="BD48:BJ48"/>
    <mergeCell ref="AF45:AH45"/>
    <mergeCell ref="AT45:AV45"/>
    <mergeCell ref="BH45:BJ45"/>
    <mergeCell ref="B46:E46"/>
    <mergeCell ref="F46:G46"/>
    <mergeCell ref="H46:K46"/>
    <mergeCell ref="L46:T46"/>
    <mergeCell ref="U46:AA46"/>
    <mergeCell ref="L43:T43"/>
    <mergeCell ref="AI43:AV43"/>
    <mergeCell ref="AB46:AH46"/>
    <mergeCell ref="AI46:AO46"/>
    <mergeCell ref="AW43:BJ43"/>
    <mergeCell ref="U44:AA44"/>
    <mergeCell ref="AB44:AH44"/>
    <mergeCell ref="AI44:AO44"/>
    <mergeCell ref="AP44:AV44"/>
    <mergeCell ref="AW44:BC44"/>
    <mergeCell ref="BD44:BJ44"/>
    <mergeCell ref="AP46:AV46"/>
    <mergeCell ref="AW46:BC46"/>
    <mergeCell ref="BD46:BJ46"/>
    <mergeCell ref="AS1:BK2"/>
    <mergeCell ref="AK69:AS69"/>
    <mergeCell ref="AW50:BC50"/>
    <mergeCell ref="BD50:BJ50"/>
    <mergeCell ref="F60:G60"/>
    <mergeCell ref="L60:S60"/>
    <mergeCell ref="T60:AB60"/>
    <mergeCell ref="AC60:AJ60"/>
    <mergeCell ref="AK60:AS60"/>
    <mergeCell ref="AT60:BA60"/>
    <mergeCell ref="BB60:BJ60"/>
    <mergeCell ref="F50:G50"/>
    <mergeCell ref="L50:T50"/>
    <mergeCell ref="U50:AA50"/>
    <mergeCell ref="AB50:AH50"/>
    <mergeCell ref="AI50:AO50"/>
    <mergeCell ref="AP50:AV50"/>
    <mergeCell ref="L54:S54"/>
    <mergeCell ref="T54:AB54"/>
    <mergeCell ref="AC54:AJ54"/>
    <mergeCell ref="B40:BJ40"/>
    <mergeCell ref="U42:AH43"/>
    <mergeCell ref="AI42:BJ42"/>
    <mergeCell ref="B43:K43"/>
    <mergeCell ref="B5:BJ5"/>
    <mergeCell ref="B7:N7"/>
    <mergeCell ref="O7:T7"/>
    <mergeCell ref="U7:Z7"/>
    <mergeCell ref="AA7:AF7"/>
    <mergeCell ref="AG7:AL7"/>
    <mergeCell ref="AM7:AR7"/>
    <mergeCell ref="AS7:AX7"/>
    <mergeCell ref="AY7:BD7"/>
    <mergeCell ref="BE7:BJ7"/>
    <mergeCell ref="C9:F9"/>
    <mergeCell ref="G9:I9"/>
    <mergeCell ref="J9:M9"/>
    <mergeCell ref="O9:T9"/>
    <mergeCell ref="U9:Z9"/>
    <mergeCell ref="AA9:AF9"/>
    <mergeCell ref="AG9:AL9"/>
    <mergeCell ref="AM9:AR9"/>
    <mergeCell ref="AS9:AX9"/>
    <mergeCell ref="AY9:BD9"/>
    <mergeCell ref="BE9:BJ9"/>
    <mergeCell ref="G10:I10"/>
    <mergeCell ref="O10:T10"/>
    <mergeCell ref="U10:Z10"/>
    <mergeCell ref="AA10:AF10"/>
    <mergeCell ref="AG10:AL10"/>
    <mergeCell ref="AM10:AR10"/>
    <mergeCell ref="AS10:AX10"/>
    <mergeCell ref="AY10:BD10"/>
    <mergeCell ref="BE10:BJ10"/>
    <mergeCell ref="G11:I11"/>
    <mergeCell ref="O11:T11"/>
    <mergeCell ref="U11:Z11"/>
    <mergeCell ref="AA11:AF11"/>
    <mergeCell ref="AG11:AL11"/>
    <mergeCell ref="AM11:AR11"/>
    <mergeCell ref="AS11:AX11"/>
    <mergeCell ref="AY11:BD11"/>
    <mergeCell ref="BE11:BJ11"/>
    <mergeCell ref="G12:I12"/>
    <mergeCell ref="O12:T12"/>
    <mergeCell ref="U12:Z12"/>
    <mergeCell ref="AA12:AF12"/>
    <mergeCell ref="AG12:AL12"/>
    <mergeCell ref="AM12:AR12"/>
    <mergeCell ref="AS12:AX12"/>
    <mergeCell ref="AY12:BD12"/>
    <mergeCell ref="BE12:BJ12"/>
    <mergeCell ref="G13:I13"/>
    <mergeCell ref="O13:T13"/>
    <mergeCell ref="U13:Z13"/>
    <mergeCell ref="AA13:AF13"/>
    <mergeCell ref="AG13:AL13"/>
    <mergeCell ref="AM13:AR13"/>
    <mergeCell ref="AS13:AX13"/>
    <mergeCell ref="AY13:BD13"/>
    <mergeCell ref="BE13:BJ13"/>
    <mergeCell ref="B15:D15"/>
    <mergeCell ref="B17:BJ17"/>
    <mergeCell ref="B19:N20"/>
    <mergeCell ref="O19:AL19"/>
    <mergeCell ref="AM19:BJ19"/>
    <mergeCell ref="O20:T20"/>
    <mergeCell ref="U20:Z20"/>
    <mergeCell ref="AA20:AF20"/>
    <mergeCell ref="AG20:AL20"/>
    <mergeCell ref="AM20:AR20"/>
    <mergeCell ref="AS20:AX20"/>
    <mergeCell ref="AY20:BD20"/>
    <mergeCell ref="BE20:BJ20"/>
    <mergeCell ref="C22:F22"/>
    <mergeCell ref="G22:I22"/>
    <mergeCell ref="J22:M22"/>
    <mergeCell ref="O22:T22"/>
    <mergeCell ref="U22:Z22"/>
    <mergeCell ref="AA22:AF22"/>
    <mergeCell ref="AG22:AL22"/>
    <mergeCell ref="AM22:AR22"/>
    <mergeCell ref="AS22:AX22"/>
    <mergeCell ref="AY22:BD22"/>
    <mergeCell ref="BE22:BJ22"/>
    <mergeCell ref="G23:I23"/>
    <mergeCell ref="O23:T23"/>
    <mergeCell ref="U23:Z23"/>
    <mergeCell ref="AA23:AF23"/>
    <mergeCell ref="AG23:AL23"/>
    <mergeCell ref="AM23:AR23"/>
    <mergeCell ref="AS23:AX23"/>
    <mergeCell ref="AY23:BD23"/>
    <mergeCell ref="BE23:BJ23"/>
    <mergeCell ref="G24:I24"/>
    <mergeCell ref="O24:T24"/>
    <mergeCell ref="U24:Z24"/>
    <mergeCell ref="AA24:AF24"/>
    <mergeCell ref="AG24:AL24"/>
    <mergeCell ref="AM24:AR24"/>
    <mergeCell ref="AS24:AX24"/>
    <mergeCell ref="AY24:BD24"/>
    <mergeCell ref="BE24:BJ24"/>
    <mergeCell ref="G25:I25"/>
    <mergeCell ref="O25:T25"/>
    <mergeCell ref="U25:Z25"/>
    <mergeCell ref="AA25:AF25"/>
    <mergeCell ref="AG25:AL25"/>
    <mergeCell ref="AM25:AR25"/>
    <mergeCell ref="AS25:AX25"/>
    <mergeCell ref="AY25:BD25"/>
    <mergeCell ref="BE25:BJ25"/>
    <mergeCell ref="G26:I26"/>
    <mergeCell ref="O26:T26"/>
    <mergeCell ref="U26:Z26"/>
    <mergeCell ref="AA26:AF26"/>
    <mergeCell ref="AG26:AL26"/>
    <mergeCell ref="AM26:AR26"/>
    <mergeCell ref="AS26:AX26"/>
    <mergeCell ref="AY26:BD26"/>
    <mergeCell ref="BE26:BJ26"/>
    <mergeCell ref="B28:N29"/>
    <mergeCell ref="O28:AL28"/>
    <mergeCell ref="AM28:BJ28"/>
    <mergeCell ref="O29:T29"/>
    <mergeCell ref="U29:Z29"/>
    <mergeCell ref="AA29:AF29"/>
    <mergeCell ref="AG29:AL29"/>
    <mergeCell ref="AM29:AR29"/>
    <mergeCell ref="AS29:AX29"/>
    <mergeCell ref="AY29:BD29"/>
    <mergeCell ref="BE29:BJ29"/>
    <mergeCell ref="C31:F31"/>
    <mergeCell ref="G31:I31"/>
    <mergeCell ref="J31:M31"/>
    <mergeCell ref="O31:T31"/>
    <mergeCell ref="U31:Z31"/>
    <mergeCell ref="AA31:AF31"/>
    <mergeCell ref="AG31:AL31"/>
    <mergeCell ref="AM31:AR31"/>
    <mergeCell ref="AS31:AX31"/>
    <mergeCell ref="AY31:BD31"/>
    <mergeCell ref="BE31:BJ31"/>
    <mergeCell ref="G32:I32"/>
    <mergeCell ref="O32:T32"/>
    <mergeCell ref="U32:Z32"/>
    <mergeCell ref="AA32:AF32"/>
    <mergeCell ref="AG32:AL32"/>
    <mergeCell ref="AM32:AR32"/>
    <mergeCell ref="AS32:AX32"/>
    <mergeCell ref="AY32:BD32"/>
    <mergeCell ref="BE32:BJ32"/>
    <mergeCell ref="G33:I33"/>
    <mergeCell ref="O33:T33"/>
    <mergeCell ref="U33:Z33"/>
    <mergeCell ref="AA33:AF33"/>
    <mergeCell ref="AG33:AL33"/>
    <mergeCell ref="AM33:AR33"/>
    <mergeCell ref="AS33:AX33"/>
    <mergeCell ref="AY33:BD33"/>
    <mergeCell ref="BE33:BJ33"/>
    <mergeCell ref="G34:I34"/>
    <mergeCell ref="O34:T34"/>
    <mergeCell ref="U34:Z34"/>
    <mergeCell ref="AA34:AF34"/>
    <mergeCell ref="AG34:AL34"/>
    <mergeCell ref="AM34:AR34"/>
    <mergeCell ref="AS34:AX34"/>
    <mergeCell ref="AY34:BD34"/>
    <mergeCell ref="BE34:BJ34"/>
    <mergeCell ref="AS35:AX35"/>
    <mergeCell ref="AY35:BD35"/>
    <mergeCell ref="BE35:BJ35"/>
    <mergeCell ref="B37:D37"/>
    <mergeCell ref="G35:I35"/>
    <mergeCell ref="O35:T35"/>
    <mergeCell ref="U35:Z35"/>
    <mergeCell ref="AA35:AF35"/>
    <mergeCell ref="AG35:AL35"/>
    <mergeCell ref="AM35:AR35"/>
  </mergeCells>
  <phoneticPr fontId="15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2" ht="11.1" customHeight="1">
      <c r="A1" s="376">
        <v>200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</row>
    <row r="2" spans="1:62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62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</row>
    <row r="4" spans="1:62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</row>
    <row r="5" spans="1:62" ht="18" customHeight="1">
      <c r="B5" s="379" t="s">
        <v>484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</row>
    <row r="6" spans="1:62" ht="12.95" customHeight="1">
      <c r="B6" s="380" t="s">
        <v>483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  <c r="BJ6" s="380"/>
    </row>
    <row r="7" spans="1:62" ht="12.9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2" ht="13.5" customHeight="1">
      <c r="B8" s="411" t="s">
        <v>1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 t="s">
        <v>482</v>
      </c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7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</row>
    <row r="9" spans="1:62" ht="13.5" customHeight="1">
      <c r="B9" s="412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 t="s">
        <v>471</v>
      </c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 t="s">
        <v>481</v>
      </c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</row>
    <row r="10" spans="1:62">
      <c r="N10" s="22"/>
      <c r="AE10" s="6"/>
      <c r="AF10" s="6"/>
      <c r="AG10" s="6"/>
      <c r="AH10" s="6"/>
      <c r="AI10" s="6"/>
      <c r="AJ10" s="417" t="s">
        <v>157</v>
      </c>
      <c r="AK10" s="417"/>
      <c r="AL10" s="417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1:62">
      <c r="N11" s="22"/>
      <c r="AB11" s="304"/>
      <c r="AC11" s="304"/>
      <c r="AD11" s="304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</row>
    <row r="12" spans="1:62">
      <c r="C12" s="389" t="s">
        <v>7</v>
      </c>
      <c r="D12" s="389"/>
      <c r="E12" s="389"/>
      <c r="F12" s="389"/>
      <c r="G12" s="380">
        <v>20</v>
      </c>
      <c r="H12" s="380"/>
      <c r="I12" s="380"/>
      <c r="J12" s="389" t="s">
        <v>1</v>
      </c>
      <c r="K12" s="389"/>
      <c r="L12" s="389"/>
      <c r="M12" s="389"/>
      <c r="N12" s="22"/>
      <c r="O12" s="421">
        <v>48067</v>
      </c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391">
        <v>3834730</v>
      </c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2"/>
      <c r="BH12" s="302"/>
      <c r="BI12" s="302"/>
      <c r="BJ12" s="302"/>
    </row>
    <row r="13" spans="1:62">
      <c r="G13" s="380">
        <v>21</v>
      </c>
      <c r="H13" s="380"/>
      <c r="I13" s="380"/>
      <c r="N13" s="22"/>
      <c r="O13" s="421">
        <v>49695</v>
      </c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391">
        <v>3871780</v>
      </c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</row>
    <row r="14" spans="1:62">
      <c r="G14" s="380">
        <v>22</v>
      </c>
      <c r="H14" s="380"/>
      <c r="I14" s="380"/>
      <c r="N14" s="22"/>
      <c r="O14" s="421">
        <v>84640</v>
      </c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391">
        <v>11073569</v>
      </c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</row>
    <row r="15" spans="1:62">
      <c r="G15" s="380">
        <v>23</v>
      </c>
      <c r="H15" s="380"/>
      <c r="I15" s="380"/>
      <c r="N15" s="6"/>
      <c r="O15" s="421">
        <v>82522</v>
      </c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391">
        <v>12481548</v>
      </c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</row>
    <row r="16" spans="1:62">
      <c r="G16" s="392">
        <v>24</v>
      </c>
      <c r="H16" s="392"/>
      <c r="I16" s="392"/>
      <c r="N16" s="6"/>
      <c r="O16" s="408">
        <v>81125</v>
      </c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>
        <v>10945197</v>
      </c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</row>
    <row r="17" spans="2:6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2:62">
      <c r="C18" s="400" t="s">
        <v>8</v>
      </c>
      <c r="D18" s="400"/>
      <c r="E18" s="297" t="s">
        <v>470</v>
      </c>
      <c r="F18" s="2" t="s">
        <v>480</v>
      </c>
      <c r="G18" s="53"/>
    </row>
    <row r="19" spans="2:62">
      <c r="B19" s="404" t="s">
        <v>9</v>
      </c>
      <c r="C19" s="404"/>
      <c r="D19" s="404"/>
      <c r="E19" s="297" t="s">
        <v>470</v>
      </c>
      <c r="F19" s="2" t="s">
        <v>459</v>
      </c>
    </row>
    <row r="21" spans="2:62" ht="12.75" customHeight="1">
      <c r="B21" s="380" t="s">
        <v>479</v>
      </c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380"/>
      <c r="BE21" s="380"/>
      <c r="BF21" s="380"/>
      <c r="BG21" s="380"/>
      <c r="BH21" s="380"/>
      <c r="BI21" s="380"/>
      <c r="BJ21" s="380"/>
    </row>
    <row r="22" spans="2:62">
      <c r="BJ22" s="316" t="s">
        <v>478</v>
      </c>
    </row>
    <row r="23" spans="2:62" ht="13.5" customHeight="1">
      <c r="B23" s="411" t="s">
        <v>424</v>
      </c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 t="s">
        <v>477</v>
      </c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 t="s">
        <v>476</v>
      </c>
      <c r="AN23" s="386"/>
      <c r="AO23" s="386"/>
      <c r="AP23" s="386"/>
      <c r="AQ23" s="386"/>
      <c r="AR23" s="386"/>
      <c r="AS23" s="386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/>
      <c r="BG23" s="386"/>
      <c r="BH23" s="386"/>
      <c r="BI23" s="386"/>
      <c r="BJ23" s="387"/>
    </row>
    <row r="24" spans="2:62" ht="13.5" customHeight="1">
      <c r="B24" s="412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 t="s">
        <v>5</v>
      </c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 t="s">
        <v>471</v>
      </c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 t="s">
        <v>5</v>
      </c>
      <c r="AN24" s="385"/>
      <c r="AO24" s="385"/>
      <c r="AP24" s="385"/>
      <c r="AQ24" s="385"/>
      <c r="AR24" s="385"/>
      <c r="AS24" s="385"/>
      <c r="AT24" s="385"/>
      <c r="AU24" s="385"/>
      <c r="AV24" s="385"/>
      <c r="AW24" s="385"/>
      <c r="AX24" s="385"/>
      <c r="AY24" s="385" t="s">
        <v>471</v>
      </c>
      <c r="AZ24" s="385"/>
      <c r="BA24" s="385"/>
      <c r="BB24" s="385"/>
      <c r="BC24" s="385"/>
      <c r="BD24" s="385"/>
      <c r="BE24" s="385"/>
      <c r="BF24" s="385"/>
      <c r="BG24" s="385"/>
      <c r="BH24" s="385"/>
      <c r="BI24" s="385"/>
      <c r="BJ24" s="388"/>
    </row>
    <row r="25" spans="2:62" ht="15" customHeight="1">
      <c r="N25" s="22"/>
      <c r="AB25" s="304"/>
      <c r="AC25" s="304"/>
      <c r="AD25" s="304"/>
    </row>
    <row r="26" spans="2:62" ht="15" customHeight="1">
      <c r="C26" s="389" t="s">
        <v>7</v>
      </c>
      <c r="D26" s="389"/>
      <c r="E26" s="389"/>
      <c r="F26" s="389"/>
      <c r="G26" s="380">
        <v>20</v>
      </c>
      <c r="H26" s="380"/>
      <c r="I26" s="380"/>
      <c r="J26" s="389" t="s">
        <v>424</v>
      </c>
      <c r="K26" s="389"/>
      <c r="L26" s="389"/>
      <c r="M26" s="389"/>
      <c r="N26" s="22"/>
      <c r="O26" s="421">
        <v>4460</v>
      </c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>
        <v>6723</v>
      </c>
      <c r="AB26" s="409"/>
      <c r="AC26" s="409"/>
      <c r="AD26" s="409"/>
      <c r="AE26" s="409"/>
      <c r="AF26" s="409"/>
      <c r="AG26" s="409"/>
      <c r="AH26" s="409"/>
      <c r="AI26" s="409"/>
      <c r="AJ26" s="409"/>
      <c r="AK26" s="409"/>
      <c r="AL26" s="409"/>
      <c r="AM26" s="409">
        <v>582</v>
      </c>
      <c r="AN26" s="409"/>
      <c r="AO26" s="409"/>
      <c r="AP26" s="409"/>
      <c r="AQ26" s="409"/>
      <c r="AR26" s="409"/>
      <c r="AS26" s="409"/>
      <c r="AT26" s="409"/>
      <c r="AU26" s="409"/>
      <c r="AV26" s="409"/>
      <c r="AW26" s="409"/>
      <c r="AX26" s="409"/>
      <c r="AY26" s="409">
        <v>604</v>
      </c>
      <c r="AZ26" s="409"/>
      <c r="BA26" s="409"/>
      <c r="BB26" s="409"/>
      <c r="BC26" s="409"/>
      <c r="BD26" s="409"/>
      <c r="BE26" s="409"/>
      <c r="BF26" s="409"/>
      <c r="BG26" s="409"/>
      <c r="BH26" s="409"/>
      <c r="BI26" s="409"/>
      <c r="BJ26" s="409"/>
    </row>
    <row r="27" spans="2:62">
      <c r="G27" s="380">
        <v>21</v>
      </c>
      <c r="H27" s="380"/>
      <c r="I27" s="380"/>
      <c r="N27" s="22"/>
      <c r="O27" s="421">
        <v>4551</v>
      </c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>
        <v>6837</v>
      </c>
      <c r="AB27" s="409"/>
      <c r="AC27" s="409"/>
      <c r="AD27" s="409"/>
      <c r="AE27" s="409"/>
      <c r="AF27" s="409"/>
      <c r="AG27" s="409"/>
      <c r="AH27" s="409"/>
      <c r="AI27" s="409"/>
      <c r="AJ27" s="409"/>
      <c r="AK27" s="409"/>
      <c r="AL27" s="409"/>
      <c r="AM27" s="409">
        <v>581</v>
      </c>
      <c r="AN27" s="409"/>
      <c r="AO27" s="409"/>
      <c r="AP27" s="409"/>
      <c r="AQ27" s="409"/>
      <c r="AR27" s="409"/>
      <c r="AS27" s="409"/>
      <c r="AT27" s="409"/>
      <c r="AU27" s="409"/>
      <c r="AV27" s="409"/>
      <c r="AW27" s="409"/>
      <c r="AX27" s="409"/>
      <c r="AY27" s="409">
        <v>601</v>
      </c>
      <c r="AZ27" s="409"/>
      <c r="BA27" s="409"/>
      <c r="BB27" s="409"/>
      <c r="BC27" s="409"/>
      <c r="BD27" s="409"/>
      <c r="BE27" s="409"/>
      <c r="BF27" s="409"/>
      <c r="BG27" s="409"/>
      <c r="BH27" s="409"/>
      <c r="BI27" s="409"/>
      <c r="BJ27" s="409"/>
    </row>
    <row r="28" spans="2:62">
      <c r="G28" s="380">
        <v>22</v>
      </c>
      <c r="H28" s="380"/>
      <c r="I28" s="380"/>
      <c r="N28" s="22"/>
      <c r="O28" s="421">
        <v>4761</v>
      </c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>
        <v>7113</v>
      </c>
      <c r="AB28" s="409"/>
      <c r="AC28" s="409"/>
      <c r="AD28" s="409"/>
      <c r="AE28" s="409"/>
      <c r="AF28" s="409"/>
      <c r="AG28" s="409"/>
      <c r="AH28" s="409"/>
      <c r="AI28" s="409"/>
      <c r="AJ28" s="409"/>
      <c r="AK28" s="409"/>
      <c r="AL28" s="409"/>
      <c r="AM28" s="409">
        <v>587</v>
      </c>
      <c r="AN28" s="409"/>
      <c r="AO28" s="409"/>
      <c r="AP28" s="409"/>
      <c r="AQ28" s="409"/>
      <c r="AR28" s="409"/>
      <c r="AS28" s="409"/>
      <c r="AT28" s="409"/>
      <c r="AU28" s="409"/>
      <c r="AV28" s="409"/>
      <c r="AW28" s="409"/>
      <c r="AX28" s="409"/>
      <c r="AY28" s="409">
        <v>604</v>
      </c>
      <c r="AZ28" s="409"/>
      <c r="BA28" s="409"/>
      <c r="BB28" s="409"/>
      <c r="BC28" s="409"/>
      <c r="BD28" s="409"/>
      <c r="BE28" s="409"/>
      <c r="BF28" s="409"/>
      <c r="BG28" s="409"/>
      <c r="BH28" s="409"/>
      <c r="BI28" s="409"/>
      <c r="BJ28" s="409"/>
    </row>
    <row r="29" spans="2:62">
      <c r="G29" s="380">
        <v>23</v>
      </c>
      <c r="H29" s="380"/>
      <c r="I29" s="380"/>
      <c r="N29" s="6"/>
      <c r="O29" s="421">
        <v>4805</v>
      </c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09">
        <v>7164</v>
      </c>
      <c r="AB29" s="409"/>
      <c r="AC29" s="409"/>
      <c r="AD29" s="409"/>
      <c r="AE29" s="409"/>
      <c r="AF29" s="409"/>
      <c r="AG29" s="409"/>
      <c r="AH29" s="409"/>
      <c r="AI29" s="409"/>
      <c r="AJ29" s="409"/>
      <c r="AK29" s="409"/>
      <c r="AL29" s="409"/>
      <c r="AM29" s="409">
        <v>596</v>
      </c>
      <c r="AN29" s="409"/>
      <c r="AO29" s="409"/>
      <c r="AP29" s="409"/>
      <c r="AQ29" s="409"/>
      <c r="AR29" s="409"/>
      <c r="AS29" s="409"/>
      <c r="AT29" s="409"/>
      <c r="AU29" s="409"/>
      <c r="AV29" s="409"/>
      <c r="AW29" s="409"/>
      <c r="AX29" s="409"/>
      <c r="AY29" s="409">
        <v>614</v>
      </c>
      <c r="AZ29" s="409"/>
      <c r="BA29" s="409"/>
      <c r="BB29" s="409"/>
      <c r="BC29" s="409"/>
      <c r="BD29" s="409"/>
      <c r="BE29" s="409"/>
      <c r="BF29" s="409"/>
      <c r="BG29" s="409"/>
      <c r="BH29" s="409"/>
      <c r="BI29" s="409"/>
      <c r="BJ29" s="409"/>
    </row>
    <row r="30" spans="2:62">
      <c r="G30" s="392">
        <v>24</v>
      </c>
      <c r="H30" s="392"/>
      <c r="I30" s="392"/>
      <c r="N30" s="6"/>
      <c r="O30" s="408">
        <v>4855</v>
      </c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>
        <v>7204</v>
      </c>
      <c r="AB30" s="399"/>
      <c r="AC30" s="399"/>
      <c r="AD30" s="399"/>
      <c r="AE30" s="399"/>
      <c r="AF30" s="399"/>
      <c r="AG30" s="399"/>
      <c r="AH30" s="399"/>
      <c r="AI30" s="399"/>
      <c r="AJ30" s="399"/>
      <c r="AK30" s="399"/>
      <c r="AL30" s="399"/>
      <c r="AM30" s="399">
        <v>617</v>
      </c>
      <c r="AN30" s="399"/>
      <c r="AO30" s="399"/>
      <c r="AP30" s="399"/>
      <c r="AQ30" s="399"/>
      <c r="AR30" s="399"/>
      <c r="AS30" s="399"/>
      <c r="AT30" s="399"/>
      <c r="AU30" s="399"/>
      <c r="AV30" s="399"/>
      <c r="AW30" s="399"/>
      <c r="AX30" s="399"/>
      <c r="AY30" s="399">
        <v>634</v>
      </c>
      <c r="AZ30" s="399"/>
      <c r="BA30" s="399"/>
      <c r="BB30" s="399"/>
      <c r="BC30" s="399"/>
      <c r="BD30" s="399"/>
      <c r="BE30" s="399"/>
      <c r="BF30" s="399"/>
      <c r="BG30" s="399"/>
      <c r="BH30" s="399"/>
      <c r="BI30" s="399"/>
      <c r="BJ30" s="399"/>
    </row>
    <row r="31" spans="2:6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2:62">
      <c r="B32" s="404" t="s">
        <v>9</v>
      </c>
      <c r="C32" s="404"/>
      <c r="D32" s="404"/>
      <c r="E32" s="297" t="s">
        <v>475</v>
      </c>
      <c r="F32" s="2" t="s">
        <v>459</v>
      </c>
    </row>
    <row r="34" spans="2:62" ht="12.75" customHeight="1">
      <c r="B34" s="380" t="s">
        <v>474</v>
      </c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/>
      <c r="BG34" s="380"/>
      <c r="BH34" s="380"/>
      <c r="BI34" s="380"/>
      <c r="BJ34" s="380"/>
    </row>
    <row r="35" spans="2:6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</row>
    <row r="36" spans="2:62">
      <c r="B36" s="411" t="s">
        <v>1</v>
      </c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 t="s">
        <v>473</v>
      </c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6"/>
      <c r="AL36" s="386"/>
      <c r="AM36" s="386" t="s">
        <v>472</v>
      </c>
      <c r="AN36" s="386"/>
      <c r="AO36" s="386"/>
      <c r="AP36" s="386"/>
      <c r="AQ36" s="386"/>
      <c r="AR36" s="386"/>
      <c r="AS36" s="386"/>
      <c r="AT36" s="386"/>
      <c r="AU36" s="386"/>
      <c r="AV36" s="386"/>
      <c r="AW36" s="386"/>
      <c r="AX36" s="386"/>
      <c r="AY36" s="386"/>
      <c r="AZ36" s="386"/>
      <c r="BA36" s="386"/>
      <c r="BB36" s="386"/>
      <c r="BC36" s="386"/>
      <c r="BD36" s="386"/>
      <c r="BE36" s="386"/>
      <c r="BF36" s="386"/>
      <c r="BG36" s="386"/>
      <c r="BH36" s="386"/>
      <c r="BI36" s="386"/>
      <c r="BJ36" s="387"/>
    </row>
    <row r="37" spans="2:62">
      <c r="B37" s="412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 t="s">
        <v>471</v>
      </c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 t="s">
        <v>368</v>
      </c>
      <c r="AB37" s="385"/>
      <c r="AC37" s="385"/>
      <c r="AD37" s="385"/>
      <c r="AE37" s="385"/>
      <c r="AF37" s="385"/>
      <c r="AG37" s="385"/>
      <c r="AH37" s="385"/>
      <c r="AI37" s="385"/>
      <c r="AJ37" s="385"/>
      <c r="AK37" s="385"/>
      <c r="AL37" s="385"/>
      <c r="AM37" s="385" t="s">
        <v>471</v>
      </c>
      <c r="AN37" s="385"/>
      <c r="AO37" s="385"/>
      <c r="AP37" s="385"/>
      <c r="AQ37" s="385"/>
      <c r="AR37" s="385"/>
      <c r="AS37" s="385"/>
      <c r="AT37" s="385"/>
      <c r="AU37" s="385"/>
      <c r="AV37" s="385"/>
      <c r="AW37" s="385"/>
      <c r="AX37" s="385"/>
      <c r="AY37" s="385" t="s">
        <v>368</v>
      </c>
      <c r="AZ37" s="385"/>
      <c r="BA37" s="385"/>
      <c r="BB37" s="385"/>
      <c r="BC37" s="385"/>
      <c r="BD37" s="385"/>
      <c r="BE37" s="385"/>
      <c r="BF37" s="385"/>
      <c r="BG37" s="385"/>
      <c r="BH37" s="385"/>
      <c r="BI37" s="385"/>
      <c r="BJ37" s="388"/>
    </row>
    <row r="38" spans="2:62">
      <c r="N38" s="22"/>
      <c r="AD38" s="315"/>
      <c r="AJ38" s="429" t="s">
        <v>157</v>
      </c>
      <c r="AK38" s="429"/>
      <c r="AL38" s="429"/>
      <c r="AT38" s="315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429" t="s">
        <v>157</v>
      </c>
      <c r="BI38" s="429"/>
      <c r="BJ38" s="429"/>
    </row>
    <row r="39" spans="2:62">
      <c r="N39" s="22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</row>
    <row r="40" spans="2:62">
      <c r="C40" s="389" t="s">
        <v>7</v>
      </c>
      <c r="D40" s="389"/>
      <c r="E40" s="389"/>
      <c r="F40" s="389"/>
      <c r="G40" s="380">
        <v>20</v>
      </c>
      <c r="H40" s="380"/>
      <c r="I40" s="380"/>
      <c r="J40" s="389" t="s">
        <v>1</v>
      </c>
      <c r="K40" s="389"/>
      <c r="L40" s="389"/>
      <c r="M40" s="389"/>
      <c r="N40" s="22"/>
      <c r="O40" s="421">
        <v>8488</v>
      </c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391">
        <v>1397304</v>
      </c>
      <c r="AB40" s="391"/>
      <c r="AC40" s="391"/>
      <c r="AD40" s="391"/>
      <c r="AE40" s="391"/>
      <c r="AF40" s="391"/>
      <c r="AG40" s="391"/>
      <c r="AH40" s="391"/>
      <c r="AI40" s="391"/>
      <c r="AJ40" s="391"/>
      <c r="AK40" s="391"/>
      <c r="AL40" s="391"/>
      <c r="AM40" s="391">
        <v>467</v>
      </c>
      <c r="AN40" s="391"/>
      <c r="AO40" s="391"/>
      <c r="AP40" s="391"/>
      <c r="AQ40" s="391"/>
      <c r="AR40" s="391"/>
      <c r="AS40" s="391"/>
      <c r="AT40" s="391"/>
      <c r="AU40" s="391"/>
      <c r="AV40" s="391"/>
      <c r="AW40" s="391"/>
      <c r="AX40" s="391"/>
      <c r="AY40" s="391">
        <v>83995</v>
      </c>
      <c r="AZ40" s="391"/>
      <c r="BA40" s="391"/>
      <c r="BB40" s="391"/>
      <c r="BC40" s="391"/>
      <c r="BD40" s="391"/>
      <c r="BE40" s="391"/>
      <c r="BF40" s="391"/>
      <c r="BG40" s="391"/>
      <c r="BH40" s="391"/>
      <c r="BI40" s="391"/>
      <c r="BJ40" s="391"/>
    </row>
    <row r="41" spans="2:62">
      <c r="G41" s="380">
        <v>21</v>
      </c>
      <c r="H41" s="380"/>
      <c r="I41" s="380"/>
      <c r="N41" s="22"/>
      <c r="O41" s="421">
        <v>8576</v>
      </c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391">
        <v>1430096</v>
      </c>
      <c r="AB41" s="391"/>
      <c r="AC41" s="391"/>
      <c r="AD41" s="391"/>
      <c r="AE41" s="391"/>
      <c r="AF41" s="391"/>
      <c r="AG41" s="391"/>
      <c r="AH41" s="391"/>
      <c r="AI41" s="391"/>
      <c r="AJ41" s="391"/>
      <c r="AK41" s="391"/>
      <c r="AL41" s="391"/>
      <c r="AM41" s="391">
        <v>447</v>
      </c>
      <c r="AN41" s="391"/>
      <c r="AO41" s="391"/>
      <c r="AP41" s="391"/>
      <c r="AQ41" s="391"/>
      <c r="AR41" s="391"/>
      <c r="AS41" s="391"/>
      <c r="AT41" s="391"/>
      <c r="AU41" s="391"/>
      <c r="AV41" s="391"/>
      <c r="AW41" s="391"/>
      <c r="AX41" s="391"/>
      <c r="AY41" s="391">
        <v>83204</v>
      </c>
      <c r="AZ41" s="391"/>
      <c r="BA41" s="391"/>
      <c r="BB41" s="391"/>
      <c r="BC41" s="391"/>
      <c r="BD41" s="391"/>
      <c r="BE41" s="391"/>
      <c r="BF41" s="391"/>
      <c r="BG41" s="391"/>
      <c r="BH41" s="391"/>
      <c r="BI41" s="391"/>
      <c r="BJ41" s="391"/>
    </row>
    <row r="42" spans="2:62">
      <c r="G42" s="380">
        <v>22</v>
      </c>
      <c r="H42" s="380"/>
      <c r="I42" s="380"/>
      <c r="N42" s="22"/>
      <c r="O42" s="421">
        <v>8648</v>
      </c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  <c r="AA42" s="391">
        <v>1443542</v>
      </c>
      <c r="AB42" s="391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391">
        <v>471</v>
      </c>
      <c r="AN42" s="391"/>
      <c r="AO42" s="391"/>
      <c r="AP42" s="391"/>
      <c r="AQ42" s="391"/>
      <c r="AR42" s="391"/>
      <c r="AS42" s="391"/>
      <c r="AT42" s="391"/>
      <c r="AU42" s="391"/>
      <c r="AV42" s="391"/>
      <c r="AW42" s="391"/>
      <c r="AX42" s="391"/>
      <c r="AY42" s="391">
        <v>84770</v>
      </c>
      <c r="AZ42" s="391"/>
      <c r="BA42" s="391"/>
      <c r="BB42" s="391"/>
      <c r="BC42" s="391"/>
      <c r="BD42" s="391"/>
      <c r="BE42" s="391"/>
      <c r="BF42" s="391"/>
      <c r="BG42" s="391"/>
      <c r="BH42" s="391"/>
      <c r="BI42" s="391"/>
      <c r="BJ42" s="391"/>
    </row>
    <row r="43" spans="2:62">
      <c r="G43" s="380">
        <v>23</v>
      </c>
      <c r="H43" s="380"/>
      <c r="I43" s="380"/>
      <c r="N43" s="6"/>
      <c r="O43" s="421">
        <v>8593</v>
      </c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391">
        <v>1444851</v>
      </c>
      <c r="AB43" s="391"/>
      <c r="AC43" s="391"/>
      <c r="AD43" s="391"/>
      <c r="AE43" s="391"/>
      <c r="AF43" s="391"/>
      <c r="AG43" s="391"/>
      <c r="AH43" s="391"/>
      <c r="AI43" s="391"/>
      <c r="AJ43" s="391"/>
      <c r="AK43" s="391"/>
      <c r="AL43" s="391"/>
      <c r="AM43" s="391">
        <v>485</v>
      </c>
      <c r="AN43" s="391"/>
      <c r="AO43" s="391"/>
      <c r="AP43" s="391"/>
      <c r="AQ43" s="391"/>
      <c r="AR43" s="391"/>
      <c r="AS43" s="391"/>
      <c r="AT43" s="391"/>
      <c r="AU43" s="391"/>
      <c r="AV43" s="391"/>
      <c r="AW43" s="391"/>
      <c r="AX43" s="391"/>
      <c r="AY43" s="391">
        <v>88040</v>
      </c>
      <c r="AZ43" s="391"/>
      <c r="BA43" s="391"/>
      <c r="BB43" s="391"/>
      <c r="BC43" s="391"/>
      <c r="BD43" s="391"/>
      <c r="BE43" s="391"/>
      <c r="BF43" s="391"/>
      <c r="BG43" s="391"/>
      <c r="BH43" s="391"/>
      <c r="BI43" s="391"/>
      <c r="BJ43" s="391"/>
    </row>
    <row r="44" spans="2:62">
      <c r="G44" s="392">
        <v>24</v>
      </c>
      <c r="H44" s="392"/>
      <c r="I44" s="392"/>
      <c r="N44" s="6"/>
      <c r="O44" s="408">
        <v>8431</v>
      </c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>
        <v>1439950</v>
      </c>
      <c r="AB44" s="399"/>
      <c r="AC44" s="399"/>
      <c r="AD44" s="399"/>
      <c r="AE44" s="399"/>
      <c r="AF44" s="399"/>
      <c r="AG44" s="399"/>
      <c r="AH44" s="399"/>
      <c r="AI44" s="399"/>
      <c r="AJ44" s="399"/>
      <c r="AK44" s="399"/>
      <c r="AL44" s="399"/>
      <c r="AM44" s="399">
        <v>504</v>
      </c>
      <c r="AN44" s="399"/>
      <c r="AO44" s="399"/>
      <c r="AP44" s="399"/>
      <c r="AQ44" s="399"/>
      <c r="AR44" s="399"/>
      <c r="AS44" s="399"/>
      <c r="AT44" s="399"/>
      <c r="AU44" s="399"/>
      <c r="AV44" s="399"/>
      <c r="AW44" s="399"/>
      <c r="AX44" s="399"/>
      <c r="AY44" s="399">
        <v>89404</v>
      </c>
      <c r="AZ44" s="399"/>
      <c r="BA44" s="399"/>
      <c r="BB44" s="399"/>
      <c r="BC44" s="399"/>
      <c r="BD44" s="399"/>
      <c r="BE44" s="399"/>
      <c r="BF44" s="399"/>
      <c r="BG44" s="399"/>
      <c r="BH44" s="399"/>
      <c r="BI44" s="399"/>
      <c r="BJ44" s="399"/>
    </row>
    <row r="45" spans="2:6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2:62">
      <c r="B46" s="404" t="s">
        <v>9</v>
      </c>
      <c r="C46" s="404"/>
      <c r="D46" s="404"/>
      <c r="E46" s="297" t="s">
        <v>470</v>
      </c>
      <c r="F46" s="2" t="s">
        <v>459</v>
      </c>
    </row>
    <row r="48" spans="2:62" ht="18" customHeight="1">
      <c r="B48" s="379" t="s">
        <v>469</v>
      </c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79"/>
      <c r="AP48" s="379"/>
      <c r="AQ48" s="379"/>
      <c r="AR48" s="379"/>
      <c r="AS48" s="379"/>
      <c r="AT48" s="379"/>
      <c r="AU48" s="379"/>
      <c r="AV48" s="379"/>
      <c r="AW48" s="379"/>
      <c r="AX48" s="379"/>
      <c r="AY48" s="379"/>
      <c r="AZ48" s="379"/>
      <c r="BA48" s="379"/>
      <c r="BB48" s="379"/>
      <c r="BC48" s="379"/>
      <c r="BD48" s="379"/>
      <c r="BE48" s="379"/>
      <c r="BF48" s="379"/>
      <c r="BG48" s="379"/>
      <c r="BH48" s="379"/>
      <c r="BI48" s="379"/>
      <c r="BJ48" s="379"/>
    </row>
    <row r="49" spans="2:62">
      <c r="BJ49" s="20" t="s">
        <v>468</v>
      </c>
    </row>
    <row r="50" spans="2:62">
      <c r="B50" s="792" t="s">
        <v>424</v>
      </c>
      <c r="C50" s="793"/>
      <c r="D50" s="793"/>
      <c r="E50" s="793"/>
      <c r="F50" s="793"/>
      <c r="G50" s="793"/>
      <c r="H50" s="793"/>
      <c r="I50" s="793"/>
      <c r="J50" s="793"/>
      <c r="K50" s="793"/>
      <c r="L50" s="793"/>
      <c r="M50" s="382" t="s">
        <v>467</v>
      </c>
      <c r="N50" s="382"/>
      <c r="O50" s="382"/>
      <c r="P50" s="382"/>
      <c r="Q50" s="382"/>
      <c r="R50" s="382"/>
      <c r="S50" s="382"/>
      <c r="T50" s="382"/>
      <c r="U50" s="382"/>
      <c r="V50" s="382"/>
      <c r="W50" s="382" t="s">
        <v>466</v>
      </c>
      <c r="X50" s="382"/>
      <c r="Y50" s="382"/>
      <c r="Z50" s="382"/>
      <c r="AA50" s="382"/>
      <c r="AB50" s="382"/>
      <c r="AC50" s="382"/>
      <c r="AD50" s="382"/>
      <c r="AE50" s="382"/>
      <c r="AF50" s="382"/>
      <c r="AG50" s="382" t="s">
        <v>465</v>
      </c>
      <c r="AH50" s="382"/>
      <c r="AI50" s="382"/>
      <c r="AJ50" s="382"/>
      <c r="AK50" s="382"/>
      <c r="AL50" s="382"/>
      <c r="AM50" s="382"/>
      <c r="AN50" s="382"/>
      <c r="AO50" s="382"/>
      <c r="AP50" s="382"/>
      <c r="AQ50" s="382" t="s">
        <v>464</v>
      </c>
      <c r="AR50" s="382"/>
      <c r="AS50" s="382"/>
      <c r="AT50" s="382"/>
      <c r="AU50" s="382"/>
      <c r="AV50" s="382"/>
      <c r="AW50" s="382"/>
      <c r="AX50" s="382"/>
      <c r="AY50" s="382"/>
      <c r="AZ50" s="382"/>
      <c r="BA50" s="382" t="s">
        <v>463</v>
      </c>
      <c r="BB50" s="382"/>
      <c r="BC50" s="382"/>
      <c r="BD50" s="382"/>
      <c r="BE50" s="382"/>
      <c r="BF50" s="382"/>
      <c r="BG50" s="382"/>
      <c r="BH50" s="382"/>
      <c r="BI50" s="382"/>
      <c r="BJ50" s="406"/>
    </row>
    <row r="51" spans="2:62">
      <c r="B51" s="794"/>
      <c r="C51" s="795"/>
      <c r="D51" s="795"/>
      <c r="E51" s="795"/>
      <c r="F51" s="795"/>
      <c r="G51" s="795"/>
      <c r="H51" s="795"/>
      <c r="I51" s="795"/>
      <c r="J51" s="795"/>
      <c r="K51" s="795"/>
      <c r="L51" s="795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  <c r="AV51" s="384"/>
      <c r="AW51" s="384"/>
      <c r="AX51" s="384"/>
      <c r="AY51" s="384"/>
      <c r="AZ51" s="384"/>
      <c r="BA51" s="384"/>
      <c r="BB51" s="384"/>
      <c r="BC51" s="384"/>
      <c r="BD51" s="384"/>
      <c r="BE51" s="384"/>
      <c r="BF51" s="384"/>
      <c r="BG51" s="384"/>
      <c r="BH51" s="384"/>
      <c r="BI51" s="384"/>
      <c r="BJ51" s="407"/>
    </row>
    <row r="52" spans="2:62">
      <c r="L52" s="21"/>
      <c r="BI52" s="417" t="s">
        <v>462</v>
      </c>
      <c r="BJ52" s="417"/>
    </row>
    <row r="53" spans="2:62">
      <c r="L53" s="22"/>
      <c r="BI53" s="304"/>
      <c r="BJ53" s="304"/>
    </row>
    <row r="54" spans="2:62">
      <c r="C54" s="389" t="s">
        <v>7</v>
      </c>
      <c r="D54" s="389"/>
      <c r="E54" s="389"/>
      <c r="F54" s="380">
        <v>20</v>
      </c>
      <c r="G54" s="380"/>
      <c r="H54" s="380"/>
      <c r="I54" s="389" t="s">
        <v>424</v>
      </c>
      <c r="J54" s="389"/>
      <c r="K54" s="389"/>
      <c r="L54" s="22"/>
      <c r="M54" s="786">
        <v>90</v>
      </c>
      <c r="N54" s="787"/>
      <c r="O54" s="787"/>
      <c r="P54" s="787"/>
      <c r="Q54" s="787"/>
      <c r="R54" s="787"/>
      <c r="S54" s="787"/>
      <c r="T54" s="784">
        <v>5</v>
      </c>
      <c r="U54" s="784"/>
      <c r="V54" s="784"/>
      <c r="W54" s="391">
        <v>176</v>
      </c>
      <c r="X54" s="391"/>
      <c r="Y54" s="391"/>
      <c r="Z54" s="391"/>
      <c r="AA54" s="391"/>
      <c r="AB54" s="391"/>
      <c r="AC54" s="391"/>
      <c r="AD54" s="391"/>
      <c r="AE54" s="391"/>
      <c r="AF54" s="391"/>
      <c r="AG54" s="391">
        <v>5294</v>
      </c>
      <c r="AH54" s="391"/>
      <c r="AI54" s="391"/>
      <c r="AJ54" s="391"/>
      <c r="AK54" s="391"/>
      <c r="AL54" s="391"/>
      <c r="AM54" s="391"/>
      <c r="AN54" s="391"/>
      <c r="AO54" s="391"/>
      <c r="AP54" s="391"/>
      <c r="AQ54" s="391">
        <v>3737</v>
      </c>
      <c r="AR54" s="391"/>
      <c r="AS54" s="391"/>
      <c r="AT54" s="391"/>
      <c r="AU54" s="391"/>
      <c r="AV54" s="391"/>
      <c r="AW54" s="391"/>
      <c r="AX54" s="391"/>
      <c r="AY54" s="391"/>
      <c r="AZ54" s="391"/>
      <c r="BA54" s="790">
        <v>70.599999999999994</v>
      </c>
      <c r="BB54" s="790"/>
      <c r="BC54" s="790"/>
      <c r="BD54" s="790"/>
      <c r="BE54" s="790"/>
      <c r="BF54" s="790"/>
      <c r="BG54" s="790"/>
      <c r="BH54" s="790"/>
      <c r="BI54" s="790"/>
      <c r="BJ54" s="790"/>
    </row>
    <row r="55" spans="2:62">
      <c r="F55" s="380">
        <v>21</v>
      </c>
      <c r="G55" s="380"/>
      <c r="H55" s="380"/>
      <c r="L55" s="22"/>
      <c r="M55" s="786">
        <v>91</v>
      </c>
      <c r="N55" s="787"/>
      <c r="O55" s="787"/>
      <c r="P55" s="787"/>
      <c r="Q55" s="787"/>
      <c r="R55" s="787"/>
      <c r="S55" s="787"/>
      <c r="T55" s="784">
        <v>8</v>
      </c>
      <c r="U55" s="784"/>
      <c r="V55" s="784"/>
      <c r="W55" s="391">
        <v>172</v>
      </c>
      <c r="X55" s="391"/>
      <c r="Y55" s="391"/>
      <c r="Z55" s="391"/>
      <c r="AA55" s="391"/>
      <c r="AB55" s="391"/>
      <c r="AC55" s="391"/>
      <c r="AD55" s="391"/>
      <c r="AE55" s="391"/>
      <c r="AF55" s="391"/>
      <c r="AG55" s="391">
        <v>5111</v>
      </c>
      <c r="AH55" s="391"/>
      <c r="AI55" s="391"/>
      <c r="AJ55" s="391"/>
      <c r="AK55" s="391"/>
      <c r="AL55" s="391"/>
      <c r="AM55" s="391"/>
      <c r="AN55" s="391"/>
      <c r="AO55" s="391"/>
      <c r="AP55" s="391"/>
      <c r="AQ55" s="391">
        <v>3705</v>
      </c>
      <c r="AR55" s="391"/>
      <c r="AS55" s="391"/>
      <c r="AT55" s="391"/>
      <c r="AU55" s="391"/>
      <c r="AV55" s="391"/>
      <c r="AW55" s="391"/>
      <c r="AX55" s="391"/>
      <c r="AY55" s="391"/>
      <c r="AZ55" s="391"/>
      <c r="BA55" s="790">
        <v>72.5</v>
      </c>
      <c r="BB55" s="790"/>
      <c r="BC55" s="790"/>
      <c r="BD55" s="790"/>
      <c r="BE55" s="790"/>
      <c r="BF55" s="790"/>
      <c r="BG55" s="790"/>
      <c r="BH55" s="790"/>
      <c r="BI55" s="790"/>
      <c r="BJ55" s="790"/>
    </row>
    <row r="56" spans="2:62">
      <c r="F56" s="380">
        <v>22</v>
      </c>
      <c r="G56" s="380"/>
      <c r="H56" s="380"/>
      <c r="L56" s="22"/>
      <c r="M56" s="786">
        <v>93</v>
      </c>
      <c r="N56" s="787"/>
      <c r="O56" s="787"/>
      <c r="P56" s="787"/>
      <c r="Q56" s="787"/>
      <c r="R56" s="787"/>
      <c r="S56" s="787"/>
      <c r="T56" s="784">
        <v>14</v>
      </c>
      <c r="U56" s="784"/>
      <c r="V56" s="784"/>
      <c r="W56" s="391">
        <v>170</v>
      </c>
      <c r="X56" s="391"/>
      <c r="Y56" s="391"/>
      <c r="Z56" s="391"/>
      <c r="AA56" s="391"/>
      <c r="AB56" s="391"/>
      <c r="AC56" s="391"/>
      <c r="AD56" s="391"/>
      <c r="AE56" s="391"/>
      <c r="AF56" s="391"/>
      <c r="AG56" s="391">
        <v>5078</v>
      </c>
      <c r="AH56" s="391"/>
      <c r="AI56" s="391"/>
      <c r="AJ56" s="391"/>
      <c r="AK56" s="391"/>
      <c r="AL56" s="391"/>
      <c r="AM56" s="391"/>
      <c r="AN56" s="391"/>
      <c r="AO56" s="391"/>
      <c r="AP56" s="391"/>
      <c r="AQ56" s="391">
        <v>3822</v>
      </c>
      <c r="AR56" s="391"/>
      <c r="AS56" s="391"/>
      <c r="AT56" s="391"/>
      <c r="AU56" s="391"/>
      <c r="AV56" s="391"/>
      <c r="AW56" s="391"/>
      <c r="AX56" s="391"/>
      <c r="AY56" s="391"/>
      <c r="AZ56" s="391"/>
      <c r="BA56" s="790">
        <v>75.3</v>
      </c>
      <c r="BB56" s="790"/>
      <c r="BC56" s="790"/>
      <c r="BD56" s="790"/>
      <c r="BE56" s="790"/>
      <c r="BF56" s="790"/>
      <c r="BG56" s="790"/>
      <c r="BH56" s="790"/>
      <c r="BI56" s="790"/>
      <c r="BJ56" s="790"/>
    </row>
    <row r="57" spans="2:62">
      <c r="F57" s="380">
        <v>23</v>
      </c>
      <c r="G57" s="380"/>
      <c r="H57" s="380"/>
      <c r="L57" s="22"/>
      <c r="M57" s="786">
        <v>93</v>
      </c>
      <c r="N57" s="787"/>
      <c r="O57" s="787"/>
      <c r="P57" s="787"/>
      <c r="Q57" s="787"/>
      <c r="R57" s="787"/>
      <c r="S57" s="787"/>
      <c r="T57" s="784">
        <v>17</v>
      </c>
      <c r="U57" s="784"/>
      <c r="V57" s="784"/>
      <c r="W57" s="391">
        <v>165</v>
      </c>
      <c r="X57" s="391"/>
      <c r="Y57" s="391"/>
      <c r="Z57" s="391"/>
      <c r="AA57" s="391"/>
      <c r="AB57" s="391"/>
      <c r="AC57" s="391"/>
      <c r="AD57" s="391"/>
      <c r="AE57" s="391"/>
      <c r="AF57" s="391"/>
      <c r="AG57" s="391">
        <v>4879</v>
      </c>
      <c r="AH57" s="391"/>
      <c r="AI57" s="391"/>
      <c r="AJ57" s="391"/>
      <c r="AK57" s="391"/>
      <c r="AL57" s="391"/>
      <c r="AM57" s="391"/>
      <c r="AN57" s="391"/>
      <c r="AO57" s="391"/>
      <c r="AP57" s="391"/>
      <c r="AQ57" s="391">
        <v>3774</v>
      </c>
      <c r="AR57" s="391"/>
      <c r="AS57" s="391"/>
      <c r="AT57" s="391"/>
      <c r="AU57" s="391"/>
      <c r="AV57" s="391"/>
      <c r="AW57" s="391"/>
      <c r="AX57" s="391"/>
      <c r="AY57" s="391"/>
      <c r="AZ57" s="391"/>
      <c r="BA57" s="790">
        <v>77.400000000000006</v>
      </c>
      <c r="BB57" s="790"/>
      <c r="BC57" s="790"/>
      <c r="BD57" s="790"/>
      <c r="BE57" s="790"/>
      <c r="BF57" s="790"/>
      <c r="BG57" s="790"/>
      <c r="BH57" s="790"/>
      <c r="BI57" s="790"/>
      <c r="BJ57" s="790"/>
    </row>
    <row r="58" spans="2:62">
      <c r="F58" s="392">
        <v>24</v>
      </c>
      <c r="G58" s="392"/>
      <c r="H58" s="392"/>
      <c r="L58" s="22"/>
      <c r="M58" s="788">
        <v>92</v>
      </c>
      <c r="N58" s="789"/>
      <c r="O58" s="789"/>
      <c r="P58" s="789"/>
      <c r="Q58" s="789"/>
      <c r="R58" s="789"/>
      <c r="S58" s="789"/>
      <c r="T58" s="785">
        <v>22</v>
      </c>
      <c r="U58" s="785"/>
      <c r="V58" s="785"/>
      <c r="W58" s="396">
        <v>158</v>
      </c>
      <c r="X58" s="396"/>
      <c r="Y58" s="396"/>
      <c r="Z58" s="396"/>
      <c r="AA58" s="396"/>
      <c r="AB58" s="396"/>
      <c r="AC58" s="396"/>
      <c r="AD58" s="396"/>
      <c r="AE58" s="396"/>
      <c r="AF58" s="396"/>
      <c r="AG58" s="396">
        <v>5132</v>
      </c>
      <c r="AH58" s="396"/>
      <c r="AI58" s="396"/>
      <c r="AJ58" s="396"/>
      <c r="AK58" s="396"/>
      <c r="AL58" s="396"/>
      <c r="AM58" s="396"/>
      <c r="AN58" s="396"/>
      <c r="AO58" s="396"/>
      <c r="AP58" s="396"/>
      <c r="AQ58" s="396">
        <v>3758</v>
      </c>
      <c r="AR58" s="396"/>
      <c r="AS58" s="396"/>
      <c r="AT58" s="396"/>
      <c r="AU58" s="396"/>
      <c r="AV58" s="396"/>
      <c r="AW58" s="396"/>
      <c r="AX58" s="396"/>
      <c r="AY58" s="396"/>
      <c r="AZ58" s="396"/>
      <c r="BA58" s="791">
        <v>73.2</v>
      </c>
      <c r="BB58" s="791"/>
      <c r="BC58" s="791"/>
      <c r="BD58" s="791"/>
      <c r="BE58" s="791"/>
      <c r="BF58" s="791"/>
      <c r="BG58" s="791"/>
      <c r="BH58" s="791"/>
      <c r="BI58" s="791"/>
      <c r="BJ58" s="791"/>
    </row>
    <row r="59" spans="2:62">
      <c r="B59" s="1"/>
      <c r="C59" s="1"/>
      <c r="D59" s="1"/>
      <c r="E59" s="1"/>
      <c r="F59" s="1"/>
      <c r="G59" s="1"/>
      <c r="H59" s="1"/>
      <c r="I59" s="1"/>
      <c r="J59" s="1"/>
      <c r="K59" s="1"/>
      <c r="L59" s="2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2:62">
      <c r="B60" s="6"/>
      <c r="C60" s="668" t="s">
        <v>8</v>
      </c>
      <c r="D60" s="668"/>
      <c r="E60" s="314" t="s">
        <v>460</v>
      </c>
      <c r="F60" s="314" t="s">
        <v>461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</row>
    <row r="61" spans="2:62">
      <c r="B61" s="476" t="s">
        <v>9</v>
      </c>
      <c r="C61" s="476"/>
      <c r="D61" s="476"/>
      <c r="E61" s="297" t="s">
        <v>460</v>
      </c>
      <c r="F61" s="2" t="s">
        <v>459</v>
      </c>
    </row>
  </sheetData>
  <mergeCells count="148">
    <mergeCell ref="B5:BJ5"/>
    <mergeCell ref="O12:Z12"/>
    <mergeCell ref="AA12:AL12"/>
    <mergeCell ref="G13:I13"/>
    <mergeCell ref="G28:I28"/>
    <mergeCell ref="O27:Z27"/>
    <mergeCell ref="AA27:AL27"/>
    <mergeCell ref="AA15:AL15"/>
    <mergeCell ref="O13:Z13"/>
    <mergeCell ref="AY27:BJ27"/>
    <mergeCell ref="O28:Z28"/>
    <mergeCell ref="AA28:AL28"/>
    <mergeCell ref="AA13:AL13"/>
    <mergeCell ref="G14:I14"/>
    <mergeCell ref="O14:Z14"/>
    <mergeCell ref="O16:Z16"/>
    <mergeCell ref="AA16:AL16"/>
    <mergeCell ref="C18:D18"/>
    <mergeCell ref="G27:I27"/>
    <mergeCell ref="C26:F26"/>
    <mergeCell ref="G26:I26"/>
    <mergeCell ref="J26:M26"/>
    <mergeCell ref="B23:N24"/>
    <mergeCell ref="O23:AL23"/>
    <mergeCell ref="B19:D19"/>
    <mergeCell ref="B21:BJ21"/>
    <mergeCell ref="AA14:AL14"/>
    <mergeCell ref="G15:I15"/>
    <mergeCell ref="O15:Z15"/>
    <mergeCell ref="B46:D46"/>
    <mergeCell ref="AA30:AL30"/>
    <mergeCell ref="O41:Z41"/>
    <mergeCell ref="AA41:AL41"/>
    <mergeCell ref="G41:I41"/>
    <mergeCell ref="AM29:AX29"/>
    <mergeCell ref="AY29:BJ29"/>
    <mergeCell ref="O30:Z30"/>
    <mergeCell ref="G40:I40"/>
    <mergeCell ref="G30:I30"/>
    <mergeCell ref="O29:Z29"/>
    <mergeCell ref="AA29:AL29"/>
    <mergeCell ref="G29:I29"/>
    <mergeCell ref="B61:D61"/>
    <mergeCell ref="B6:BJ6"/>
    <mergeCell ref="B8:N9"/>
    <mergeCell ref="O8:AL8"/>
    <mergeCell ref="O9:Z9"/>
    <mergeCell ref="AA9:AL9"/>
    <mergeCell ref="O37:Z37"/>
    <mergeCell ref="AA37:AL37"/>
    <mergeCell ref="AQ55:AZ55"/>
    <mergeCell ref="BA55:BJ55"/>
    <mergeCell ref="BI52:BJ52"/>
    <mergeCell ref="C54:E54"/>
    <mergeCell ref="F54:H54"/>
    <mergeCell ref="I54:K54"/>
    <mergeCell ref="W54:AF54"/>
    <mergeCell ref="AG54:AP54"/>
    <mergeCell ref="AM41:AX41"/>
    <mergeCell ref="O42:Z42"/>
    <mergeCell ref="AA42:AL42"/>
    <mergeCell ref="AM42:AX42"/>
    <mergeCell ref="AY30:BJ30"/>
    <mergeCell ref="B32:D32"/>
    <mergeCell ref="B34:BJ34"/>
    <mergeCell ref="B36:N37"/>
    <mergeCell ref="A1:S2"/>
    <mergeCell ref="C60:D60"/>
    <mergeCell ref="F58:H58"/>
    <mergeCell ref="W58:AF58"/>
    <mergeCell ref="G16:I16"/>
    <mergeCell ref="G43:I43"/>
    <mergeCell ref="G42:I42"/>
    <mergeCell ref="C40:F40"/>
    <mergeCell ref="BA57:BJ57"/>
    <mergeCell ref="F56:H56"/>
    <mergeCell ref="W56:AF56"/>
    <mergeCell ref="AG56:AP56"/>
    <mergeCell ref="AQ56:AZ56"/>
    <mergeCell ref="BA56:BJ56"/>
    <mergeCell ref="AJ10:AL10"/>
    <mergeCell ref="C12:F12"/>
    <mergeCell ref="G12:I12"/>
    <mergeCell ref="J12:M12"/>
    <mergeCell ref="AQ58:AZ58"/>
    <mergeCell ref="BA58:BJ58"/>
    <mergeCell ref="F57:H57"/>
    <mergeCell ref="W57:AF57"/>
    <mergeCell ref="AG57:AP57"/>
    <mergeCell ref="AQ57:AZ57"/>
    <mergeCell ref="AM23:BJ23"/>
    <mergeCell ref="O24:Z24"/>
    <mergeCell ref="AA24:AL24"/>
    <mergeCell ref="AM24:AX24"/>
    <mergeCell ref="AY24:BJ24"/>
    <mergeCell ref="AM26:AX26"/>
    <mergeCell ref="AY26:BJ26"/>
    <mergeCell ref="AG58:AP58"/>
    <mergeCell ref="AM37:AX37"/>
    <mergeCell ref="AM27:AX27"/>
    <mergeCell ref="O26:Z26"/>
    <mergeCell ref="AA26:AL26"/>
    <mergeCell ref="AM30:AX30"/>
    <mergeCell ref="AM28:AX28"/>
    <mergeCell ref="O43:Z43"/>
    <mergeCell ref="W55:AF55"/>
    <mergeCell ref="AQ54:AZ54"/>
    <mergeCell ref="BA54:BJ54"/>
    <mergeCell ref="T54:V54"/>
    <mergeCell ref="T55:V55"/>
    <mergeCell ref="O36:AL36"/>
    <mergeCell ref="AM36:BJ36"/>
    <mergeCell ref="B48:BJ48"/>
    <mergeCell ref="B50:L51"/>
    <mergeCell ref="J40:M40"/>
    <mergeCell ref="O40:Z40"/>
    <mergeCell ref="AA40:AL40"/>
    <mergeCell ref="AM40:AX40"/>
    <mergeCell ref="AY40:BJ40"/>
    <mergeCell ref="AY42:BJ42"/>
    <mergeCell ref="AY28:BJ28"/>
    <mergeCell ref="AY37:BJ37"/>
    <mergeCell ref="AJ38:AL38"/>
    <mergeCell ref="BH38:BJ38"/>
    <mergeCell ref="G44:I44"/>
    <mergeCell ref="O44:Z44"/>
    <mergeCell ref="AY43:BJ43"/>
    <mergeCell ref="AY41:BJ41"/>
    <mergeCell ref="T56:V56"/>
    <mergeCell ref="T57:V57"/>
    <mergeCell ref="T58:V58"/>
    <mergeCell ref="M54:S54"/>
    <mergeCell ref="M55:S55"/>
    <mergeCell ref="M56:S56"/>
    <mergeCell ref="M57:S57"/>
    <mergeCell ref="M58:S58"/>
    <mergeCell ref="AG55:AP55"/>
    <mergeCell ref="AA44:AL44"/>
    <mergeCell ref="AM44:AX44"/>
    <mergeCell ref="AY44:BJ44"/>
    <mergeCell ref="AA43:AL43"/>
    <mergeCell ref="AM43:AX43"/>
    <mergeCell ref="F55:H55"/>
    <mergeCell ref="M50:V51"/>
    <mergeCell ref="W50:AF51"/>
    <mergeCell ref="AG50:AP51"/>
    <mergeCell ref="AQ50:AZ51"/>
    <mergeCell ref="BA50:BJ51"/>
  </mergeCells>
  <phoneticPr fontId="2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2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4" ht="11.1" customHeight="1">
      <c r="AS1" s="444">
        <f>'200'!A1+1</f>
        <v>201</v>
      </c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  <c r="BL1" s="327"/>
    </row>
    <row r="2" spans="2:64" ht="11.1" customHeight="1"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</row>
    <row r="3" spans="2:64" ht="11.1" customHeight="1"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</row>
    <row r="4" spans="2:64" ht="11.1" customHeight="1"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</row>
    <row r="5" spans="2:64" ht="18" customHeight="1">
      <c r="B5" s="379" t="s">
        <v>545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</row>
    <row r="6" spans="2:64" ht="12.95" customHeight="1">
      <c r="B6" s="380" t="s">
        <v>544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  <c r="BJ6" s="380"/>
    </row>
    <row r="7" spans="2:64" ht="12.95" customHeight="1">
      <c r="B7" s="326"/>
      <c r="BJ7" s="20" t="s">
        <v>543</v>
      </c>
    </row>
    <row r="8" spans="2:64">
      <c r="B8" s="411" t="s">
        <v>542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 t="s">
        <v>423</v>
      </c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 t="s">
        <v>541</v>
      </c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  <c r="AT8" s="386"/>
      <c r="AU8" s="386" t="s">
        <v>466</v>
      </c>
      <c r="AV8" s="386"/>
      <c r="AW8" s="386"/>
      <c r="AX8" s="386"/>
      <c r="AY8" s="386"/>
      <c r="AZ8" s="386"/>
      <c r="BA8" s="386"/>
      <c r="BB8" s="386"/>
      <c r="BC8" s="386"/>
      <c r="BD8" s="386"/>
      <c r="BE8" s="386"/>
      <c r="BF8" s="386"/>
      <c r="BG8" s="386"/>
      <c r="BH8" s="386"/>
      <c r="BI8" s="386"/>
      <c r="BJ8" s="387"/>
    </row>
    <row r="9" spans="2:64">
      <c r="B9" s="412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470" t="s">
        <v>238</v>
      </c>
      <c r="P9" s="470"/>
      <c r="Q9" s="470"/>
      <c r="R9" s="470"/>
      <c r="S9" s="470"/>
      <c r="T9" s="470"/>
      <c r="U9" s="385" t="s">
        <v>540</v>
      </c>
      <c r="V9" s="385"/>
      <c r="W9" s="385"/>
      <c r="X9" s="385"/>
      <c r="Y9" s="385"/>
      <c r="Z9" s="385" t="s">
        <v>539</v>
      </c>
      <c r="AA9" s="385"/>
      <c r="AB9" s="385"/>
      <c r="AC9" s="385"/>
      <c r="AD9" s="385"/>
      <c r="AE9" s="470" t="s">
        <v>238</v>
      </c>
      <c r="AF9" s="470"/>
      <c r="AG9" s="470"/>
      <c r="AH9" s="470"/>
      <c r="AI9" s="470"/>
      <c r="AJ9" s="470"/>
      <c r="AK9" s="385" t="s">
        <v>540</v>
      </c>
      <c r="AL9" s="385"/>
      <c r="AM9" s="385"/>
      <c r="AN9" s="385"/>
      <c r="AO9" s="385"/>
      <c r="AP9" s="385" t="s">
        <v>539</v>
      </c>
      <c r="AQ9" s="385"/>
      <c r="AR9" s="385"/>
      <c r="AS9" s="385"/>
      <c r="AT9" s="385"/>
      <c r="AU9" s="470" t="s">
        <v>238</v>
      </c>
      <c r="AV9" s="470"/>
      <c r="AW9" s="470"/>
      <c r="AX9" s="470"/>
      <c r="AY9" s="470"/>
      <c r="AZ9" s="470"/>
      <c r="BA9" s="385" t="s">
        <v>538</v>
      </c>
      <c r="BB9" s="385"/>
      <c r="BC9" s="385"/>
      <c r="BD9" s="385"/>
      <c r="BE9" s="385"/>
      <c r="BF9" s="385" t="s">
        <v>196</v>
      </c>
      <c r="BG9" s="385"/>
      <c r="BH9" s="385"/>
      <c r="BI9" s="385"/>
      <c r="BJ9" s="388"/>
    </row>
    <row r="10" spans="2:64" ht="8.1" customHeight="1">
      <c r="N10" s="21"/>
    </row>
    <row r="11" spans="2:64">
      <c r="C11" s="807" t="s">
        <v>18</v>
      </c>
      <c r="D11" s="768"/>
      <c r="E11" s="768"/>
      <c r="F11" s="768"/>
      <c r="G11" s="768"/>
      <c r="H11" s="768"/>
      <c r="I11" s="768"/>
      <c r="J11" s="768"/>
      <c r="K11" s="768"/>
      <c r="L11" s="768"/>
      <c r="M11" s="768"/>
      <c r="N11" s="22"/>
      <c r="O11" s="396">
        <f>SUM(O81:T82)</f>
        <v>6567</v>
      </c>
      <c r="P11" s="396"/>
      <c r="Q11" s="396"/>
      <c r="R11" s="396"/>
      <c r="S11" s="396"/>
      <c r="T11" s="396"/>
      <c r="U11" s="396">
        <f>SUM(U81:Y82)</f>
        <v>2695</v>
      </c>
      <c r="V11" s="393"/>
      <c r="W11" s="393"/>
      <c r="X11" s="393"/>
      <c r="Y11" s="393"/>
      <c r="Z11" s="396">
        <f>SUM(Z81:AD82)</f>
        <v>3872</v>
      </c>
      <c r="AA11" s="393"/>
      <c r="AB11" s="393"/>
      <c r="AC11" s="393"/>
      <c r="AD11" s="393"/>
      <c r="AE11" s="396">
        <f>SUM(AE81:AJ82)</f>
        <v>6386</v>
      </c>
      <c r="AF11" s="396"/>
      <c r="AG11" s="396"/>
      <c r="AH11" s="396"/>
      <c r="AI11" s="396"/>
      <c r="AJ11" s="396"/>
      <c r="AK11" s="396">
        <f>SUM(AK81:AO82)</f>
        <v>2662</v>
      </c>
      <c r="AL11" s="393"/>
      <c r="AM11" s="393"/>
      <c r="AN11" s="393"/>
      <c r="AO11" s="393"/>
      <c r="AP11" s="396">
        <f>SUM(AP81:AT82)</f>
        <v>3724</v>
      </c>
      <c r="AQ11" s="393"/>
      <c r="AR11" s="393"/>
      <c r="AS11" s="393"/>
      <c r="AT11" s="393"/>
      <c r="AU11" s="396">
        <f>SUM(AU81:AZ82)</f>
        <v>1625</v>
      </c>
      <c r="AV11" s="396"/>
      <c r="AW11" s="396"/>
      <c r="AX11" s="396"/>
      <c r="AY11" s="396"/>
      <c r="AZ11" s="396"/>
      <c r="BA11" s="396">
        <f>SUM(BA81:BE82)</f>
        <v>1267</v>
      </c>
      <c r="BB11" s="393"/>
      <c r="BC11" s="393"/>
      <c r="BD11" s="393"/>
      <c r="BE11" s="393"/>
      <c r="BF11" s="396">
        <f>SUM(BF81:BJ82)</f>
        <v>358</v>
      </c>
      <c r="BG11" s="393"/>
      <c r="BH11" s="393"/>
      <c r="BI11" s="393"/>
      <c r="BJ11" s="393"/>
    </row>
    <row r="12" spans="2:64" ht="9.9499999999999993" customHeight="1">
      <c r="N12" s="22"/>
    </row>
    <row r="13" spans="2:64" ht="13.5" customHeight="1">
      <c r="B13" s="321"/>
      <c r="C13" s="808" t="s">
        <v>537</v>
      </c>
      <c r="D13" s="808"/>
      <c r="E13" s="808"/>
      <c r="F13" s="808"/>
      <c r="G13" s="808"/>
      <c r="H13" s="808"/>
      <c r="I13" s="808"/>
      <c r="J13" s="808"/>
      <c r="K13" s="808"/>
      <c r="L13" s="808"/>
      <c r="M13" s="808"/>
      <c r="N13" s="320"/>
      <c r="O13" s="414">
        <f>SUM(U13:AD13)</f>
        <v>103</v>
      </c>
      <c r="P13" s="414"/>
      <c r="Q13" s="414"/>
      <c r="R13" s="414"/>
      <c r="S13" s="414"/>
      <c r="T13" s="414"/>
      <c r="U13" s="806">
        <v>46</v>
      </c>
      <c r="V13" s="806"/>
      <c r="W13" s="806"/>
      <c r="X13" s="806"/>
      <c r="Y13" s="806"/>
      <c r="Z13" s="806">
        <v>57</v>
      </c>
      <c r="AA13" s="806"/>
      <c r="AB13" s="806"/>
      <c r="AC13" s="806"/>
      <c r="AD13" s="806"/>
      <c r="AE13" s="414">
        <f>SUM(AK13:AT13)</f>
        <v>102</v>
      </c>
      <c r="AF13" s="414"/>
      <c r="AG13" s="414"/>
      <c r="AH13" s="414"/>
      <c r="AI13" s="414"/>
      <c r="AJ13" s="414"/>
      <c r="AK13" s="806">
        <f>10+17+18</f>
        <v>45</v>
      </c>
      <c r="AL13" s="806"/>
      <c r="AM13" s="806"/>
      <c r="AN13" s="806"/>
      <c r="AO13" s="806"/>
      <c r="AP13" s="806">
        <f>19*3</f>
        <v>57</v>
      </c>
      <c r="AQ13" s="806"/>
      <c r="AR13" s="806"/>
      <c r="AS13" s="806"/>
      <c r="AT13" s="806"/>
      <c r="AU13" s="414">
        <f>SUM(BA13:BJ13)</f>
        <v>28</v>
      </c>
      <c r="AV13" s="414"/>
      <c r="AW13" s="414"/>
      <c r="AX13" s="414"/>
      <c r="AY13" s="414"/>
      <c r="AZ13" s="414"/>
      <c r="BA13" s="806">
        <v>22</v>
      </c>
      <c r="BB13" s="806"/>
      <c r="BC13" s="806"/>
      <c r="BD13" s="806"/>
      <c r="BE13" s="806"/>
      <c r="BF13" s="806">
        <v>6</v>
      </c>
      <c r="BG13" s="806"/>
      <c r="BH13" s="806"/>
      <c r="BI13" s="806"/>
      <c r="BJ13" s="806"/>
    </row>
    <row r="14" spans="2:64" ht="13.5" customHeight="1">
      <c r="B14" s="321" t="s">
        <v>489</v>
      </c>
      <c r="C14" s="808" t="s">
        <v>536</v>
      </c>
      <c r="D14" s="808"/>
      <c r="E14" s="808"/>
      <c r="F14" s="808"/>
      <c r="G14" s="808"/>
      <c r="H14" s="808"/>
      <c r="I14" s="808"/>
      <c r="J14" s="808"/>
      <c r="K14" s="808"/>
      <c r="L14" s="808"/>
      <c r="M14" s="808"/>
      <c r="N14" s="320"/>
      <c r="O14" s="414">
        <f>SUM(U14:AD14)</f>
        <v>82</v>
      </c>
      <c r="P14" s="414"/>
      <c r="Q14" s="414"/>
      <c r="R14" s="414"/>
      <c r="S14" s="414"/>
      <c r="T14" s="414"/>
      <c r="U14" s="806">
        <v>34</v>
      </c>
      <c r="V14" s="806"/>
      <c r="W14" s="806"/>
      <c r="X14" s="806"/>
      <c r="Y14" s="806"/>
      <c r="Z14" s="806">
        <v>48</v>
      </c>
      <c r="AA14" s="806"/>
      <c r="AB14" s="806"/>
      <c r="AC14" s="806"/>
      <c r="AD14" s="806"/>
      <c r="AE14" s="414">
        <f>SUM(AK14:AT14)</f>
        <v>81</v>
      </c>
      <c r="AF14" s="414"/>
      <c r="AG14" s="414"/>
      <c r="AH14" s="414"/>
      <c r="AI14" s="414"/>
      <c r="AJ14" s="414"/>
      <c r="AK14" s="806">
        <f>8+12+14</f>
        <v>34</v>
      </c>
      <c r="AL14" s="806"/>
      <c r="AM14" s="806"/>
      <c r="AN14" s="806"/>
      <c r="AO14" s="806"/>
      <c r="AP14" s="806">
        <f>15+16+16</f>
        <v>47</v>
      </c>
      <c r="AQ14" s="806"/>
      <c r="AR14" s="806"/>
      <c r="AS14" s="806"/>
      <c r="AT14" s="806"/>
      <c r="AU14" s="414">
        <f>SUM(BA14:BJ14)</f>
        <v>28</v>
      </c>
      <c r="AV14" s="414"/>
      <c r="AW14" s="414"/>
      <c r="AX14" s="414"/>
      <c r="AY14" s="414"/>
      <c r="AZ14" s="414"/>
      <c r="BA14" s="806">
        <v>21</v>
      </c>
      <c r="BB14" s="806"/>
      <c r="BC14" s="806"/>
      <c r="BD14" s="806"/>
      <c r="BE14" s="806"/>
      <c r="BF14" s="806">
        <v>7</v>
      </c>
      <c r="BG14" s="806"/>
      <c r="BH14" s="806"/>
      <c r="BI14" s="806"/>
      <c r="BJ14" s="806"/>
    </row>
    <row r="15" spans="2:64" ht="13.5" customHeight="1">
      <c r="B15" s="321"/>
      <c r="C15" s="808" t="s">
        <v>535</v>
      </c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320"/>
      <c r="O15" s="414">
        <f>SUM(U15:AD15)</f>
        <v>108</v>
      </c>
      <c r="P15" s="414"/>
      <c r="Q15" s="414"/>
      <c r="R15" s="414"/>
      <c r="S15" s="414"/>
      <c r="T15" s="414"/>
      <c r="U15" s="806">
        <v>48</v>
      </c>
      <c r="V15" s="806"/>
      <c r="W15" s="806"/>
      <c r="X15" s="806"/>
      <c r="Y15" s="806"/>
      <c r="Z15" s="806">
        <v>60</v>
      </c>
      <c r="AA15" s="806"/>
      <c r="AB15" s="806"/>
      <c r="AC15" s="806"/>
      <c r="AD15" s="806"/>
      <c r="AE15" s="414">
        <f>SUM(AK15:AT15)</f>
        <v>105</v>
      </c>
      <c r="AF15" s="414"/>
      <c r="AG15" s="414"/>
      <c r="AH15" s="414"/>
      <c r="AI15" s="414"/>
      <c r="AJ15" s="414"/>
      <c r="AK15" s="806">
        <f>12+18+18</f>
        <v>48</v>
      </c>
      <c r="AL15" s="806"/>
      <c r="AM15" s="806"/>
      <c r="AN15" s="806"/>
      <c r="AO15" s="806"/>
      <c r="AP15" s="806">
        <f>20+20+17</f>
        <v>57</v>
      </c>
      <c r="AQ15" s="806"/>
      <c r="AR15" s="806"/>
      <c r="AS15" s="806"/>
      <c r="AT15" s="806"/>
      <c r="AU15" s="414">
        <f>SUM(BA15:BJ15)</f>
        <v>30</v>
      </c>
      <c r="AV15" s="414"/>
      <c r="AW15" s="414"/>
      <c r="AX15" s="414"/>
      <c r="AY15" s="414"/>
      <c r="AZ15" s="414"/>
      <c r="BA15" s="806">
        <v>23</v>
      </c>
      <c r="BB15" s="806"/>
      <c r="BC15" s="806"/>
      <c r="BD15" s="806"/>
      <c r="BE15" s="806"/>
      <c r="BF15" s="806">
        <v>7</v>
      </c>
      <c r="BG15" s="806"/>
      <c r="BH15" s="806"/>
      <c r="BI15" s="806"/>
      <c r="BJ15" s="806"/>
    </row>
    <row r="16" spans="2:64" ht="13.5" customHeight="1">
      <c r="B16" s="321"/>
      <c r="C16" s="808" t="s">
        <v>534</v>
      </c>
      <c r="D16" s="808"/>
      <c r="E16" s="808"/>
      <c r="F16" s="808"/>
      <c r="G16" s="808"/>
      <c r="H16" s="808"/>
      <c r="I16" s="808"/>
      <c r="J16" s="808"/>
      <c r="K16" s="808"/>
      <c r="L16" s="808"/>
      <c r="M16" s="808"/>
      <c r="N16" s="320"/>
      <c r="O16" s="414">
        <f>SUM(U16:AD16)</f>
        <v>77</v>
      </c>
      <c r="P16" s="414"/>
      <c r="Q16" s="414"/>
      <c r="R16" s="414"/>
      <c r="S16" s="414"/>
      <c r="T16" s="414"/>
      <c r="U16" s="806">
        <v>35</v>
      </c>
      <c r="V16" s="806"/>
      <c r="W16" s="806"/>
      <c r="X16" s="806"/>
      <c r="Y16" s="806"/>
      <c r="Z16" s="806">
        <v>42</v>
      </c>
      <c r="AA16" s="806"/>
      <c r="AB16" s="806"/>
      <c r="AC16" s="806"/>
      <c r="AD16" s="806"/>
      <c r="AE16" s="414">
        <f>SUM(AK16:AT16)</f>
        <v>77</v>
      </c>
      <c r="AF16" s="414"/>
      <c r="AG16" s="414"/>
      <c r="AH16" s="414"/>
      <c r="AI16" s="414"/>
      <c r="AJ16" s="414"/>
      <c r="AK16" s="806">
        <f>10+12+13</f>
        <v>35</v>
      </c>
      <c r="AL16" s="806"/>
      <c r="AM16" s="806"/>
      <c r="AN16" s="806"/>
      <c r="AO16" s="806"/>
      <c r="AP16" s="806">
        <f>14*3</f>
        <v>42</v>
      </c>
      <c r="AQ16" s="806"/>
      <c r="AR16" s="806"/>
      <c r="AS16" s="806"/>
      <c r="AT16" s="806"/>
      <c r="AU16" s="414">
        <f>SUM(BA16:BJ16)</f>
        <v>23</v>
      </c>
      <c r="AV16" s="414"/>
      <c r="AW16" s="414"/>
      <c r="AX16" s="414"/>
      <c r="AY16" s="414"/>
      <c r="AZ16" s="414"/>
      <c r="BA16" s="806">
        <v>17</v>
      </c>
      <c r="BB16" s="806"/>
      <c r="BC16" s="806"/>
      <c r="BD16" s="806"/>
      <c r="BE16" s="806"/>
      <c r="BF16" s="806">
        <v>6</v>
      </c>
      <c r="BG16" s="806"/>
      <c r="BH16" s="806"/>
      <c r="BI16" s="806"/>
      <c r="BJ16" s="806"/>
    </row>
    <row r="17" spans="2:62" ht="14.25" customHeight="1">
      <c r="B17" s="321"/>
      <c r="C17" s="808" t="s">
        <v>533</v>
      </c>
      <c r="D17" s="808"/>
      <c r="E17" s="808"/>
      <c r="F17" s="808"/>
      <c r="G17" s="808"/>
      <c r="H17" s="808"/>
      <c r="I17" s="808"/>
      <c r="J17" s="808"/>
      <c r="K17" s="808"/>
      <c r="L17" s="808"/>
      <c r="M17" s="808"/>
      <c r="N17" s="320"/>
      <c r="O17" s="414">
        <f>SUM(U17:AD17)</f>
        <v>113</v>
      </c>
      <c r="P17" s="414"/>
      <c r="Q17" s="414"/>
      <c r="R17" s="414"/>
      <c r="S17" s="414"/>
      <c r="T17" s="414"/>
      <c r="U17" s="806">
        <v>51</v>
      </c>
      <c r="V17" s="806"/>
      <c r="W17" s="806"/>
      <c r="X17" s="806"/>
      <c r="Y17" s="806"/>
      <c r="Z17" s="806">
        <v>62</v>
      </c>
      <c r="AA17" s="806"/>
      <c r="AB17" s="806"/>
      <c r="AC17" s="806"/>
      <c r="AD17" s="806"/>
      <c r="AE17" s="414">
        <f>SUM(AK17:AT17)</f>
        <v>113</v>
      </c>
      <c r="AF17" s="414"/>
      <c r="AG17" s="414"/>
      <c r="AH17" s="414"/>
      <c r="AI17" s="414"/>
      <c r="AJ17" s="414"/>
      <c r="AK17" s="806">
        <f>15+18+18</f>
        <v>51</v>
      </c>
      <c r="AL17" s="806"/>
      <c r="AM17" s="806"/>
      <c r="AN17" s="806"/>
      <c r="AO17" s="806"/>
      <c r="AP17" s="806">
        <f>20+21+21</f>
        <v>62</v>
      </c>
      <c r="AQ17" s="806"/>
      <c r="AR17" s="806"/>
      <c r="AS17" s="806"/>
      <c r="AT17" s="806"/>
      <c r="AU17" s="414">
        <f>SUM(BA17:BJ17)</f>
        <v>32</v>
      </c>
      <c r="AV17" s="414"/>
      <c r="AW17" s="414"/>
      <c r="AX17" s="414"/>
      <c r="AY17" s="414"/>
      <c r="AZ17" s="414"/>
      <c r="BA17" s="806">
        <v>24</v>
      </c>
      <c r="BB17" s="806"/>
      <c r="BC17" s="806"/>
      <c r="BD17" s="806"/>
      <c r="BE17" s="806"/>
      <c r="BF17" s="806">
        <v>8</v>
      </c>
      <c r="BG17" s="806"/>
      <c r="BH17" s="806"/>
      <c r="BI17" s="806"/>
      <c r="BJ17" s="806"/>
    </row>
    <row r="18" spans="2:62" ht="8.1" customHeight="1">
      <c r="B18" s="321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0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</row>
    <row r="19" spans="2:62" ht="13.5" customHeight="1">
      <c r="B19" s="321"/>
      <c r="C19" s="808" t="s">
        <v>532</v>
      </c>
      <c r="D19" s="808"/>
      <c r="E19" s="808"/>
      <c r="F19" s="808"/>
      <c r="G19" s="808"/>
      <c r="H19" s="808"/>
      <c r="I19" s="808"/>
      <c r="J19" s="808"/>
      <c r="K19" s="808"/>
      <c r="L19" s="808"/>
      <c r="M19" s="808"/>
      <c r="N19" s="320"/>
      <c r="O19" s="414">
        <f>SUM(U19:AD19)</f>
        <v>95</v>
      </c>
      <c r="P19" s="414"/>
      <c r="Q19" s="414"/>
      <c r="R19" s="414"/>
      <c r="S19" s="414"/>
      <c r="T19" s="414"/>
      <c r="U19" s="806">
        <v>30</v>
      </c>
      <c r="V19" s="806"/>
      <c r="W19" s="806"/>
      <c r="X19" s="806"/>
      <c r="Y19" s="806"/>
      <c r="Z19" s="806">
        <v>65</v>
      </c>
      <c r="AA19" s="806"/>
      <c r="AB19" s="806"/>
      <c r="AC19" s="806"/>
      <c r="AD19" s="806"/>
      <c r="AE19" s="414">
        <f>SUM(AK19:AT19)</f>
        <v>85</v>
      </c>
      <c r="AF19" s="414"/>
      <c r="AG19" s="414"/>
      <c r="AH19" s="414"/>
      <c r="AI19" s="414"/>
      <c r="AJ19" s="414"/>
      <c r="AK19" s="806">
        <f>13+17</f>
        <v>30</v>
      </c>
      <c r="AL19" s="806"/>
      <c r="AM19" s="806"/>
      <c r="AN19" s="806"/>
      <c r="AO19" s="806"/>
      <c r="AP19" s="806">
        <f>17+16+22</f>
        <v>55</v>
      </c>
      <c r="AQ19" s="806"/>
      <c r="AR19" s="806"/>
      <c r="AS19" s="806"/>
      <c r="AT19" s="806"/>
      <c r="AU19" s="414">
        <f>SUM(BA19:BJ19)</f>
        <v>19</v>
      </c>
      <c r="AV19" s="414"/>
      <c r="AW19" s="414"/>
      <c r="AX19" s="414"/>
      <c r="AY19" s="414"/>
      <c r="AZ19" s="414"/>
      <c r="BA19" s="806">
        <v>15</v>
      </c>
      <c r="BB19" s="806"/>
      <c r="BC19" s="806"/>
      <c r="BD19" s="806"/>
      <c r="BE19" s="806"/>
      <c r="BF19" s="806">
        <v>4</v>
      </c>
      <c r="BG19" s="806"/>
      <c r="BH19" s="806"/>
      <c r="BI19" s="806"/>
      <c r="BJ19" s="806"/>
    </row>
    <row r="20" spans="2:62" ht="13.5" customHeight="1">
      <c r="B20" s="321"/>
      <c r="C20" s="808" t="s">
        <v>531</v>
      </c>
      <c r="D20" s="808"/>
      <c r="E20" s="808"/>
      <c r="F20" s="808"/>
      <c r="G20" s="808"/>
      <c r="H20" s="808"/>
      <c r="I20" s="808"/>
      <c r="J20" s="808"/>
      <c r="K20" s="808"/>
      <c r="L20" s="808"/>
      <c r="M20" s="808"/>
      <c r="N20" s="320"/>
      <c r="O20" s="414">
        <f>SUM(U20:AD20)</f>
        <v>125</v>
      </c>
      <c r="P20" s="414"/>
      <c r="Q20" s="414"/>
      <c r="R20" s="414"/>
      <c r="S20" s="414"/>
      <c r="T20" s="414"/>
      <c r="U20" s="806">
        <f>12+20+21</f>
        <v>53</v>
      </c>
      <c r="V20" s="806"/>
      <c r="W20" s="806"/>
      <c r="X20" s="806"/>
      <c r="Y20" s="806"/>
      <c r="Z20" s="806">
        <f>24*3</f>
        <v>72</v>
      </c>
      <c r="AA20" s="806"/>
      <c r="AB20" s="806"/>
      <c r="AC20" s="806"/>
      <c r="AD20" s="806"/>
      <c r="AE20" s="414">
        <f>SUM(AK20:AT20)</f>
        <v>125</v>
      </c>
      <c r="AF20" s="414"/>
      <c r="AG20" s="414"/>
      <c r="AH20" s="414"/>
      <c r="AI20" s="414"/>
      <c r="AJ20" s="414"/>
      <c r="AK20" s="806">
        <f>12+20+21</f>
        <v>53</v>
      </c>
      <c r="AL20" s="806"/>
      <c r="AM20" s="806"/>
      <c r="AN20" s="806"/>
      <c r="AO20" s="806"/>
      <c r="AP20" s="806">
        <f>24*3</f>
        <v>72</v>
      </c>
      <c r="AQ20" s="806"/>
      <c r="AR20" s="806"/>
      <c r="AS20" s="806"/>
      <c r="AT20" s="806"/>
      <c r="AU20" s="414">
        <f>SUM(BA20:BJ20)</f>
        <v>31</v>
      </c>
      <c r="AV20" s="414"/>
      <c r="AW20" s="414"/>
      <c r="AX20" s="414"/>
      <c r="AY20" s="414"/>
      <c r="AZ20" s="414"/>
      <c r="BA20" s="806">
        <v>24</v>
      </c>
      <c r="BB20" s="806"/>
      <c r="BC20" s="806"/>
      <c r="BD20" s="806"/>
      <c r="BE20" s="806"/>
      <c r="BF20" s="806">
        <v>7</v>
      </c>
      <c r="BG20" s="806"/>
      <c r="BH20" s="806"/>
      <c r="BI20" s="806"/>
      <c r="BJ20" s="806"/>
    </row>
    <row r="21" spans="2:62" ht="13.5" customHeight="1">
      <c r="B21" s="321"/>
      <c r="C21" s="808" t="s">
        <v>530</v>
      </c>
      <c r="D21" s="808"/>
      <c r="E21" s="808"/>
      <c r="F21" s="808"/>
      <c r="G21" s="808"/>
      <c r="H21" s="808"/>
      <c r="I21" s="808"/>
      <c r="J21" s="808"/>
      <c r="K21" s="808"/>
      <c r="L21" s="808"/>
      <c r="M21" s="808"/>
      <c r="N21" s="320"/>
      <c r="O21" s="414">
        <f>SUM(U21:AD21)</f>
        <v>130</v>
      </c>
      <c r="P21" s="414"/>
      <c r="Q21" s="414"/>
      <c r="R21" s="414"/>
      <c r="S21" s="414"/>
      <c r="T21" s="414"/>
      <c r="U21" s="806">
        <f>9+18+23</f>
        <v>50</v>
      </c>
      <c r="V21" s="806"/>
      <c r="W21" s="806"/>
      <c r="X21" s="806"/>
      <c r="Y21" s="806"/>
      <c r="Z21" s="806">
        <v>80</v>
      </c>
      <c r="AA21" s="806"/>
      <c r="AB21" s="806"/>
      <c r="AC21" s="806"/>
      <c r="AD21" s="806"/>
      <c r="AE21" s="414">
        <f>SUM(AK21:AT21)</f>
        <v>130</v>
      </c>
      <c r="AF21" s="414"/>
      <c r="AG21" s="414"/>
      <c r="AH21" s="414"/>
      <c r="AI21" s="414"/>
      <c r="AJ21" s="414"/>
      <c r="AK21" s="806">
        <f>9+18+23</f>
        <v>50</v>
      </c>
      <c r="AL21" s="806"/>
      <c r="AM21" s="806"/>
      <c r="AN21" s="806"/>
      <c r="AO21" s="806"/>
      <c r="AP21" s="806">
        <f>26+27+27</f>
        <v>80</v>
      </c>
      <c r="AQ21" s="806"/>
      <c r="AR21" s="806"/>
      <c r="AS21" s="806"/>
      <c r="AT21" s="806"/>
      <c r="AU21" s="414">
        <f>SUM(BA21:BJ21)</f>
        <v>31</v>
      </c>
      <c r="AV21" s="414"/>
      <c r="AW21" s="414"/>
      <c r="AX21" s="414"/>
      <c r="AY21" s="414"/>
      <c r="AZ21" s="414"/>
      <c r="BA21" s="806">
        <v>24</v>
      </c>
      <c r="BB21" s="806"/>
      <c r="BC21" s="806"/>
      <c r="BD21" s="806"/>
      <c r="BE21" s="806"/>
      <c r="BF21" s="806">
        <v>7</v>
      </c>
      <c r="BG21" s="806"/>
      <c r="BH21" s="806"/>
      <c r="BI21" s="806"/>
      <c r="BJ21" s="806"/>
    </row>
    <row r="22" spans="2:62" ht="13.5" customHeight="1">
      <c r="B22" s="321" t="s">
        <v>489</v>
      </c>
      <c r="C22" s="808" t="s">
        <v>529</v>
      </c>
      <c r="D22" s="808"/>
      <c r="E22" s="808"/>
      <c r="F22" s="808"/>
      <c r="G22" s="808"/>
      <c r="H22" s="808"/>
      <c r="I22" s="808"/>
      <c r="J22" s="808"/>
      <c r="K22" s="808"/>
      <c r="L22" s="808"/>
      <c r="M22" s="808"/>
      <c r="N22" s="320"/>
      <c r="O22" s="414">
        <f>SUM(U22:AD22)</f>
        <v>125</v>
      </c>
      <c r="P22" s="414"/>
      <c r="Q22" s="414"/>
      <c r="R22" s="414"/>
      <c r="S22" s="414"/>
      <c r="T22" s="414"/>
      <c r="U22" s="806">
        <f>9+22+22</f>
        <v>53</v>
      </c>
      <c r="V22" s="806"/>
      <c r="W22" s="806"/>
      <c r="X22" s="806"/>
      <c r="Y22" s="806"/>
      <c r="Z22" s="806">
        <f>24*3</f>
        <v>72</v>
      </c>
      <c r="AA22" s="806"/>
      <c r="AB22" s="806"/>
      <c r="AC22" s="806"/>
      <c r="AD22" s="806"/>
      <c r="AE22" s="414">
        <f>SUM(AK22:AT22)</f>
        <v>123</v>
      </c>
      <c r="AF22" s="414"/>
      <c r="AG22" s="414"/>
      <c r="AH22" s="414"/>
      <c r="AI22" s="414"/>
      <c r="AJ22" s="414"/>
      <c r="AK22" s="806">
        <f>9+22+22</f>
        <v>53</v>
      </c>
      <c r="AL22" s="806"/>
      <c r="AM22" s="806"/>
      <c r="AN22" s="806"/>
      <c r="AO22" s="806"/>
      <c r="AP22" s="806">
        <f>22+24+24</f>
        <v>70</v>
      </c>
      <c r="AQ22" s="806"/>
      <c r="AR22" s="806"/>
      <c r="AS22" s="806"/>
      <c r="AT22" s="806"/>
      <c r="AU22" s="414">
        <f>SUM(BA22:BJ22)</f>
        <v>33</v>
      </c>
      <c r="AV22" s="414"/>
      <c r="AW22" s="414"/>
      <c r="AX22" s="414"/>
      <c r="AY22" s="414"/>
      <c r="AZ22" s="414"/>
      <c r="BA22" s="806">
        <v>27</v>
      </c>
      <c r="BB22" s="806"/>
      <c r="BC22" s="806"/>
      <c r="BD22" s="806"/>
      <c r="BE22" s="806"/>
      <c r="BF22" s="806">
        <v>6</v>
      </c>
      <c r="BG22" s="806"/>
      <c r="BH22" s="806"/>
      <c r="BI22" s="806"/>
      <c r="BJ22" s="806"/>
    </row>
    <row r="23" spans="2:62" ht="14.25" customHeight="1">
      <c r="B23" s="321"/>
      <c r="C23" s="808" t="s">
        <v>528</v>
      </c>
      <c r="D23" s="808"/>
      <c r="E23" s="808"/>
      <c r="F23" s="808"/>
      <c r="G23" s="808"/>
      <c r="H23" s="808"/>
      <c r="I23" s="808"/>
      <c r="J23" s="808"/>
      <c r="K23" s="808"/>
      <c r="L23" s="808"/>
      <c r="M23" s="808"/>
      <c r="N23" s="320"/>
      <c r="O23" s="414">
        <f>SUM(U23:AD23)</f>
        <v>99</v>
      </c>
      <c r="P23" s="414"/>
      <c r="Q23" s="414"/>
      <c r="R23" s="414"/>
      <c r="S23" s="414"/>
      <c r="T23" s="414"/>
      <c r="U23" s="806">
        <f>9+13+16</f>
        <v>38</v>
      </c>
      <c r="V23" s="806"/>
      <c r="W23" s="806"/>
      <c r="X23" s="806"/>
      <c r="Y23" s="806"/>
      <c r="Z23" s="806">
        <f>18+21+22</f>
        <v>61</v>
      </c>
      <c r="AA23" s="806"/>
      <c r="AB23" s="806"/>
      <c r="AC23" s="806"/>
      <c r="AD23" s="806"/>
      <c r="AE23" s="414">
        <f>SUM(AK23:AT23)</f>
        <v>96</v>
      </c>
      <c r="AF23" s="414"/>
      <c r="AG23" s="414"/>
      <c r="AH23" s="414"/>
      <c r="AI23" s="414"/>
      <c r="AJ23" s="414"/>
      <c r="AK23" s="806">
        <f>9+13+16</f>
        <v>38</v>
      </c>
      <c r="AL23" s="806"/>
      <c r="AM23" s="806"/>
      <c r="AN23" s="806"/>
      <c r="AO23" s="806"/>
      <c r="AP23" s="806">
        <f>18+21+19</f>
        <v>58</v>
      </c>
      <c r="AQ23" s="806"/>
      <c r="AR23" s="806"/>
      <c r="AS23" s="806"/>
      <c r="AT23" s="806"/>
      <c r="AU23" s="414">
        <f>SUM(BA23:BJ23)</f>
        <v>24</v>
      </c>
      <c r="AV23" s="414"/>
      <c r="AW23" s="414"/>
      <c r="AX23" s="414"/>
      <c r="AY23" s="414"/>
      <c r="AZ23" s="414"/>
      <c r="BA23" s="806">
        <v>19</v>
      </c>
      <c r="BB23" s="806"/>
      <c r="BC23" s="806"/>
      <c r="BD23" s="806"/>
      <c r="BE23" s="806"/>
      <c r="BF23" s="806">
        <v>5</v>
      </c>
      <c r="BG23" s="806"/>
      <c r="BH23" s="806"/>
      <c r="BI23" s="806"/>
      <c r="BJ23" s="806"/>
    </row>
    <row r="24" spans="2:62" ht="8.1" customHeight="1">
      <c r="B24" s="321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0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</row>
    <row r="25" spans="2:62" ht="13.5" customHeight="1">
      <c r="B25" s="321"/>
      <c r="C25" s="808" t="s">
        <v>527</v>
      </c>
      <c r="D25" s="808"/>
      <c r="E25" s="808"/>
      <c r="F25" s="808"/>
      <c r="G25" s="808"/>
      <c r="H25" s="808"/>
      <c r="I25" s="808"/>
      <c r="J25" s="808"/>
      <c r="K25" s="808"/>
      <c r="L25" s="808"/>
      <c r="M25" s="808"/>
      <c r="N25" s="320"/>
      <c r="O25" s="414">
        <f>SUM(U25:AD25)</f>
        <v>127</v>
      </c>
      <c r="P25" s="414"/>
      <c r="Q25" s="414"/>
      <c r="R25" s="414"/>
      <c r="S25" s="414"/>
      <c r="T25" s="414"/>
      <c r="U25" s="806">
        <f>12+20+22</f>
        <v>54</v>
      </c>
      <c r="V25" s="806"/>
      <c r="W25" s="806"/>
      <c r="X25" s="806"/>
      <c r="Y25" s="806"/>
      <c r="Z25" s="806">
        <f>24+24+25</f>
        <v>73</v>
      </c>
      <c r="AA25" s="806"/>
      <c r="AB25" s="806"/>
      <c r="AC25" s="806"/>
      <c r="AD25" s="806"/>
      <c r="AE25" s="414">
        <f>SUM(AK25:AT25)</f>
        <v>124</v>
      </c>
      <c r="AF25" s="414"/>
      <c r="AG25" s="414"/>
      <c r="AH25" s="414"/>
      <c r="AI25" s="414"/>
      <c r="AJ25" s="414"/>
      <c r="AK25" s="806">
        <f>12+20+22</f>
        <v>54</v>
      </c>
      <c r="AL25" s="806"/>
      <c r="AM25" s="806"/>
      <c r="AN25" s="806"/>
      <c r="AO25" s="806"/>
      <c r="AP25" s="806">
        <f>24+24+22</f>
        <v>70</v>
      </c>
      <c r="AQ25" s="806"/>
      <c r="AR25" s="806"/>
      <c r="AS25" s="806"/>
      <c r="AT25" s="806"/>
      <c r="AU25" s="414">
        <f>SUM(BA25:BJ25)</f>
        <v>33</v>
      </c>
      <c r="AV25" s="414"/>
      <c r="AW25" s="414"/>
      <c r="AX25" s="414"/>
      <c r="AY25" s="414"/>
      <c r="AZ25" s="414"/>
      <c r="BA25" s="806">
        <v>26</v>
      </c>
      <c r="BB25" s="806"/>
      <c r="BC25" s="806"/>
      <c r="BD25" s="806"/>
      <c r="BE25" s="806"/>
      <c r="BF25" s="806">
        <v>7</v>
      </c>
      <c r="BG25" s="806"/>
      <c r="BH25" s="806"/>
      <c r="BI25" s="806"/>
      <c r="BJ25" s="806"/>
    </row>
    <row r="26" spans="2:62" ht="13.5" customHeight="1">
      <c r="B26" s="321" t="s">
        <v>489</v>
      </c>
      <c r="C26" s="808" t="s">
        <v>526</v>
      </c>
      <c r="D26" s="808"/>
      <c r="E26" s="808"/>
      <c r="F26" s="808"/>
      <c r="G26" s="808"/>
      <c r="H26" s="808"/>
      <c r="I26" s="808"/>
      <c r="J26" s="808"/>
      <c r="K26" s="808"/>
      <c r="L26" s="808"/>
      <c r="M26" s="808"/>
      <c r="N26" s="320"/>
      <c r="O26" s="414">
        <f>SUM(U26:AD26)</f>
        <v>78</v>
      </c>
      <c r="P26" s="414"/>
      <c r="Q26" s="414"/>
      <c r="R26" s="414"/>
      <c r="S26" s="414"/>
      <c r="T26" s="414"/>
      <c r="U26" s="806">
        <f>9+11+13</f>
        <v>33</v>
      </c>
      <c r="V26" s="806"/>
      <c r="W26" s="806"/>
      <c r="X26" s="806"/>
      <c r="Y26" s="806"/>
      <c r="Z26" s="806">
        <f>15*3</f>
        <v>45</v>
      </c>
      <c r="AA26" s="806"/>
      <c r="AB26" s="806"/>
      <c r="AC26" s="806"/>
      <c r="AD26" s="806"/>
      <c r="AE26" s="414">
        <f>SUM(AK26:AT26)</f>
        <v>74</v>
      </c>
      <c r="AF26" s="414"/>
      <c r="AG26" s="414"/>
      <c r="AH26" s="414"/>
      <c r="AI26" s="414"/>
      <c r="AJ26" s="414"/>
      <c r="AK26" s="806">
        <f>7+11+13</f>
        <v>31</v>
      </c>
      <c r="AL26" s="806"/>
      <c r="AM26" s="806"/>
      <c r="AN26" s="806"/>
      <c r="AO26" s="806"/>
      <c r="AP26" s="806">
        <f>15+15+13</f>
        <v>43</v>
      </c>
      <c r="AQ26" s="806"/>
      <c r="AR26" s="806"/>
      <c r="AS26" s="806"/>
      <c r="AT26" s="806"/>
      <c r="AU26" s="414">
        <f>SUM(BA26:BJ26)</f>
        <v>25</v>
      </c>
      <c r="AV26" s="414"/>
      <c r="AW26" s="414"/>
      <c r="AX26" s="414"/>
      <c r="AY26" s="414"/>
      <c r="AZ26" s="414"/>
      <c r="BA26" s="806">
        <v>19</v>
      </c>
      <c r="BB26" s="806"/>
      <c r="BC26" s="806"/>
      <c r="BD26" s="806"/>
      <c r="BE26" s="806"/>
      <c r="BF26" s="806">
        <v>6</v>
      </c>
      <c r="BG26" s="806"/>
      <c r="BH26" s="806"/>
      <c r="BI26" s="806"/>
      <c r="BJ26" s="806"/>
    </row>
    <row r="27" spans="2:62" ht="13.5" customHeight="1">
      <c r="B27" s="321"/>
      <c r="C27" s="808" t="s">
        <v>525</v>
      </c>
      <c r="D27" s="808"/>
      <c r="E27" s="808"/>
      <c r="F27" s="808"/>
      <c r="G27" s="808"/>
      <c r="H27" s="808"/>
      <c r="I27" s="808"/>
      <c r="J27" s="808"/>
      <c r="K27" s="808"/>
      <c r="L27" s="808"/>
      <c r="M27" s="808"/>
      <c r="N27" s="320"/>
      <c r="O27" s="414">
        <f>SUM(U27:AD27)</f>
        <v>123</v>
      </c>
      <c r="P27" s="414"/>
      <c r="Q27" s="414"/>
      <c r="R27" s="414"/>
      <c r="S27" s="414"/>
      <c r="T27" s="414"/>
      <c r="U27" s="806">
        <f>11+19+21</f>
        <v>51</v>
      </c>
      <c r="V27" s="806"/>
      <c r="W27" s="806"/>
      <c r="X27" s="806"/>
      <c r="Y27" s="806"/>
      <c r="Z27" s="806">
        <f>23+24+25</f>
        <v>72</v>
      </c>
      <c r="AA27" s="806"/>
      <c r="AB27" s="806"/>
      <c r="AC27" s="806"/>
      <c r="AD27" s="806"/>
      <c r="AE27" s="414">
        <f>SUM(AK27:AT27)</f>
        <v>118</v>
      </c>
      <c r="AF27" s="414"/>
      <c r="AG27" s="414"/>
      <c r="AH27" s="414"/>
      <c r="AI27" s="414"/>
      <c r="AJ27" s="414"/>
      <c r="AK27" s="806">
        <f>9+19+21</f>
        <v>49</v>
      </c>
      <c r="AL27" s="806"/>
      <c r="AM27" s="806"/>
      <c r="AN27" s="806"/>
      <c r="AO27" s="806"/>
      <c r="AP27" s="806">
        <f>21+24+24</f>
        <v>69</v>
      </c>
      <c r="AQ27" s="806"/>
      <c r="AR27" s="806"/>
      <c r="AS27" s="806"/>
      <c r="AT27" s="806"/>
      <c r="AU27" s="414">
        <f>SUM(BA27:BJ27)</f>
        <v>30</v>
      </c>
      <c r="AV27" s="414"/>
      <c r="AW27" s="414"/>
      <c r="AX27" s="414"/>
      <c r="AY27" s="414"/>
      <c r="AZ27" s="414"/>
      <c r="BA27" s="806">
        <v>25</v>
      </c>
      <c r="BB27" s="806"/>
      <c r="BC27" s="806"/>
      <c r="BD27" s="806"/>
      <c r="BE27" s="806"/>
      <c r="BF27" s="806">
        <v>5</v>
      </c>
      <c r="BG27" s="806"/>
      <c r="BH27" s="806"/>
      <c r="BI27" s="806"/>
      <c r="BJ27" s="806"/>
    </row>
    <row r="28" spans="2:62" ht="13.5" customHeight="1">
      <c r="B28" s="321" t="s">
        <v>489</v>
      </c>
      <c r="C28" s="808" t="s">
        <v>524</v>
      </c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320"/>
      <c r="O28" s="414">
        <f>SUM(U28:AD28)</f>
        <v>124</v>
      </c>
      <c r="P28" s="414"/>
      <c r="Q28" s="414"/>
      <c r="R28" s="414"/>
      <c r="S28" s="414"/>
      <c r="T28" s="414"/>
      <c r="U28" s="806">
        <f>9+19+22</f>
        <v>50</v>
      </c>
      <c r="V28" s="806"/>
      <c r="W28" s="806"/>
      <c r="X28" s="806"/>
      <c r="Y28" s="806"/>
      <c r="Z28" s="806">
        <f>24+25+25</f>
        <v>74</v>
      </c>
      <c r="AA28" s="806"/>
      <c r="AB28" s="806"/>
      <c r="AC28" s="806"/>
      <c r="AD28" s="806"/>
      <c r="AE28" s="414">
        <f>SUM(AK28:AT28)</f>
        <v>123</v>
      </c>
      <c r="AF28" s="414"/>
      <c r="AG28" s="414"/>
      <c r="AH28" s="414"/>
      <c r="AI28" s="414"/>
      <c r="AJ28" s="414"/>
      <c r="AK28" s="806">
        <f>9+19+22</f>
        <v>50</v>
      </c>
      <c r="AL28" s="806"/>
      <c r="AM28" s="806"/>
      <c r="AN28" s="806"/>
      <c r="AO28" s="806"/>
      <c r="AP28" s="806">
        <f>24+25+24</f>
        <v>73</v>
      </c>
      <c r="AQ28" s="806"/>
      <c r="AR28" s="806"/>
      <c r="AS28" s="806"/>
      <c r="AT28" s="806"/>
      <c r="AU28" s="414">
        <f>SUM(BA28:BJ28)</f>
        <v>36</v>
      </c>
      <c r="AV28" s="414"/>
      <c r="AW28" s="414"/>
      <c r="AX28" s="414"/>
      <c r="AY28" s="414"/>
      <c r="AZ28" s="414"/>
      <c r="BA28" s="806">
        <v>28</v>
      </c>
      <c r="BB28" s="806"/>
      <c r="BC28" s="806"/>
      <c r="BD28" s="806"/>
      <c r="BE28" s="806"/>
      <c r="BF28" s="806">
        <v>8</v>
      </c>
      <c r="BG28" s="806"/>
      <c r="BH28" s="806"/>
      <c r="BI28" s="806"/>
      <c r="BJ28" s="806"/>
    </row>
    <row r="29" spans="2:62" ht="14.25" customHeight="1">
      <c r="B29" s="321"/>
      <c r="C29" s="808" t="s">
        <v>523</v>
      </c>
      <c r="D29" s="808"/>
      <c r="E29" s="808"/>
      <c r="F29" s="808"/>
      <c r="G29" s="808"/>
      <c r="H29" s="808"/>
      <c r="I29" s="808"/>
      <c r="J29" s="808"/>
      <c r="K29" s="808"/>
      <c r="L29" s="808"/>
      <c r="M29" s="808"/>
      <c r="N29" s="320"/>
      <c r="O29" s="414">
        <f>SUM(U29:AD29)</f>
        <v>105</v>
      </c>
      <c r="P29" s="414"/>
      <c r="Q29" s="414"/>
      <c r="R29" s="414"/>
      <c r="S29" s="414"/>
      <c r="T29" s="414"/>
      <c r="U29" s="806">
        <f>13+16+18</f>
        <v>47</v>
      </c>
      <c r="V29" s="806"/>
      <c r="W29" s="806"/>
      <c r="X29" s="806"/>
      <c r="Y29" s="806"/>
      <c r="Z29" s="806">
        <f>19+19+20</f>
        <v>58</v>
      </c>
      <c r="AA29" s="806"/>
      <c r="AB29" s="806"/>
      <c r="AC29" s="806"/>
      <c r="AD29" s="806"/>
      <c r="AE29" s="414">
        <f>SUM(AK29:AT29)</f>
        <v>102</v>
      </c>
      <c r="AF29" s="414"/>
      <c r="AG29" s="414"/>
      <c r="AH29" s="414"/>
      <c r="AI29" s="414"/>
      <c r="AJ29" s="414"/>
      <c r="AK29" s="806">
        <f>13+16+18</f>
        <v>47</v>
      </c>
      <c r="AL29" s="806"/>
      <c r="AM29" s="806"/>
      <c r="AN29" s="806"/>
      <c r="AO29" s="806"/>
      <c r="AP29" s="806">
        <f>19+19+17</f>
        <v>55</v>
      </c>
      <c r="AQ29" s="806"/>
      <c r="AR29" s="806"/>
      <c r="AS29" s="806"/>
      <c r="AT29" s="806"/>
      <c r="AU29" s="414">
        <f>SUM(BA29:BJ29)</f>
        <v>27</v>
      </c>
      <c r="AV29" s="414"/>
      <c r="AW29" s="414"/>
      <c r="AX29" s="414"/>
      <c r="AY29" s="414"/>
      <c r="AZ29" s="414"/>
      <c r="BA29" s="806">
        <v>20</v>
      </c>
      <c r="BB29" s="806"/>
      <c r="BC29" s="806"/>
      <c r="BD29" s="806"/>
      <c r="BE29" s="806"/>
      <c r="BF29" s="806">
        <v>7</v>
      </c>
      <c r="BG29" s="806"/>
      <c r="BH29" s="806"/>
      <c r="BI29" s="806"/>
      <c r="BJ29" s="806"/>
    </row>
    <row r="30" spans="2:62" ht="8.1" customHeight="1">
      <c r="B30" s="321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0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3"/>
      <c r="BI30" s="303"/>
      <c r="BJ30" s="303"/>
    </row>
    <row r="31" spans="2:62" ht="13.5" customHeight="1">
      <c r="B31" s="321"/>
      <c r="C31" s="808" t="s">
        <v>522</v>
      </c>
      <c r="D31" s="808"/>
      <c r="E31" s="808"/>
      <c r="F31" s="808"/>
      <c r="G31" s="808"/>
      <c r="H31" s="808"/>
      <c r="I31" s="808"/>
      <c r="J31" s="808"/>
      <c r="K31" s="808"/>
      <c r="L31" s="808"/>
      <c r="M31" s="808"/>
      <c r="N31" s="320"/>
      <c r="O31" s="414">
        <f>SUM(U31:AD31)</f>
        <v>95</v>
      </c>
      <c r="P31" s="414"/>
      <c r="Q31" s="414"/>
      <c r="R31" s="414"/>
      <c r="S31" s="414"/>
      <c r="T31" s="414"/>
      <c r="U31" s="806">
        <f>12+18</f>
        <v>30</v>
      </c>
      <c r="V31" s="806"/>
      <c r="W31" s="806"/>
      <c r="X31" s="806"/>
      <c r="Y31" s="806"/>
      <c r="Z31" s="806">
        <f>18+23+24</f>
        <v>65</v>
      </c>
      <c r="AA31" s="806"/>
      <c r="AB31" s="806"/>
      <c r="AC31" s="806"/>
      <c r="AD31" s="806"/>
      <c r="AE31" s="414">
        <f>SUM(AK31:AT31)</f>
        <v>89</v>
      </c>
      <c r="AF31" s="414"/>
      <c r="AG31" s="414"/>
      <c r="AH31" s="414"/>
      <c r="AI31" s="414"/>
      <c r="AJ31" s="414"/>
      <c r="AK31" s="806">
        <f>12+18</f>
        <v>30</v>
      </c>
      <c r="AL31" s="806"/>
      <c r="AM31" s="806"/>
      <c r="AN31" s="806"/>
      <c r="AO31" s="806"/>
      <c r="AP31" s="806">
        <f>18+19+22</f>
        <v>59</v>
      </c>
      <c r="AQ31" s="806"/>
      <c r="AR31" s="806"/>
      <c r="AS31" s="806"/>
      <c r="AT31" s="806"/>
      <c r="AU31" s="414">
        <f>SUM(BA31:BJ31)</f>
        <v>20</v>
      </c>
      <c r="AV31" s="414"/>
      <c r="AW31" s="414"/>
      <c r="AX31" s="414"/>
      <c r="AY31" s="414"/>
      <c r="AZ31" s="414"/>
      <c r="BA31" s="806">
        <v>15</v>
      </c>
      <c r="BB31" s="806"/>
      <c r="BC31" s="806"/>
      <c r="BD31" s="806"/>
      <c r="BE31" s="806"/>
      <c r="BF31" s="806">
        <v>5</v>
      </c>
      <c r="BG31" s="806"/>
      <c r="BH31" s="806"/>
      <c r="BI31" s="806"/>
      <c r="BJ31" s="806"/>
    </row>
    <row r="32" spans="2:62" ht="13.5" customHeight="1">
      <c r="B32" s="321"/>
      <c r="C32" s="808" t="s">
        <v>521</v>
      </c>
      <c r="D32" s="808"/>
      <c r="E32" s="808"/>
      <c r="F32" s="808"/>
      <c r="G32" s="808"/>
      <c r="H32" s="808"/>
      <c r="I32" s="808"/>
      <c r="J32" s="808"/>
      <c r="K32" s="808"/>
      <c r="L32" s="808"/>
      <c r="M32" s="808"/>
      <c r="N32" s="320"/>
      <c r="O32" s="414">
        <f>SUM(U32:AD32)</f>
        <v>106</v>
      </c>
      <c r="P32" s="414"/>
      <c r="Q32" s="414"/>
      <c r="R32" s="414"/>
      <c r="S32" s="414"/>
      <c r="T32" s="414"/>
      <c r="U32" s="806">
        <f>12+17+18</f>
        <v>47</v>
      </c>
      <c r="V32" s="806"/>
      <c r="W32" s="806"/>
      <c r="X32" s="806"/>
      <c r="Y32" s="806"/>
      <c r="Z32" s="806">
        <f>19+20+20</f>
        <v>59</v>
      </c>
      <c r="AA32" s="806"/>
      <c r="AB32" s="806"/>
      <c r="AC32" s="806"/>
      <c r="AD32" s="806"/>
      <c r="AE32" s="414">
        <f>SUM(AK32:AT32)</f>
        <v>105</v>
      </c>
      <c r="AF32" s="414"/>
      <c r="AG32" s="414"/>
      <c r="AH32" s="414"/>
      <c r="AI32" s="414"/>
      <c r="AJ32" s="414"/>
      <c r="AK32" s="806">
        <f>12+17+18</f>
        <v>47</v>
      </c>
      <c r="AL32" s="806"/>
      <c r="AM32" s="806"/>
      <c r="AN32" s="806"/>
      <c r="AO32" s="806"/>
      <c r="AP32" s="806">
        <f>19+20+19</f>
        <v>58</v>
      </c>
      <c r="AQ32" s="806"/>
      <c r="AR32" s="806"/>
      <c r="AS32" s="806"/>
      <c r="AT32" s="806"/>
      <c r="AU32" s="414">
        <f>SUM(BA32:BJ32)</f>
        <v>31</v>
      </c>
      <c r="AV32" s="414"/>
      <c r="AW32" s="414"/>
      <c r="AX32" s="414"/>
      <c r="AY32" s="414"/>
      <c r="AZ32" s="414"/>
      <c r="BA32" s="806">
        <v>24</v>
      </c>
      <c r="BB32" s="806"/>
      <c r="BC32" s="806"/>
      <c r="BD32" s="806"/>
      <c r="BE32" s="806"/>
      <c r="BF32" s="806">
        <v>7</v>
      </c>
      <c r="BG32" s="806"/>
      <c r="BH32" s="806"/>
      <c r="BI32" s="806"/>
      <c r="BJ32" s="806"/>
    </row>
    <row r="33" spans="2:62" ht="13.5" customHeight="1">
      <c r="B33" s="321"/>
      <c r="C33" s="808" t="s">
        <v>520</v>
      </c>
      <c r="D33" s="808"/>
      <c r="E33" s="808"/>
      <c r="F33" s="808"/>
      <c r="G33" s="808"/>
      <c r="H33" s="808"/>
      <c r="I33" s="808"/>
      <c r="J33" s="808"/>
      <c r="K33" s="808"/>
      <c r="L33" s="808"/>
      <c r="M33" s="808"/>
      <c r="N33" s="320"/>
      <c r="O33" s="414">
        <f>SUM(U33:AD33)</f>
        <v>121</v>
      </c>
      <c r="P33" s="414"/>
      <c r="Q33" s="414"/>
      <c r="R33" s="414"/>
      <c r="S33" s="414"/>
      <c r="T33" s="414"/>
      <c r="U33" s="806">
        <v>52</v>
      </c>
      <c r="V33" s="806"/>
      <c r="W33" s="806"/>
      <c r="X33" s="806"/>
      <c r="Y33" s="806"/>
      <c r="Z33" s="806">
        <v>69</v>
      </c>
      <c r="AA33" s="806"/>
      <c r="AB33" s="806"/>
      <c r="AC33" s="806"/>
      <c r="AD33" s="806"/>
      <c r="AE33" s="414">
        <f>SUM(AK33:AT33)</f>
        <v>119</v>
      </c>
      <c r="AF33" s="414"/>
      <c r="AG33" s="414"/>
      <c r="AH33" s="414"/>
      <c r="AI33" s="414"/>
      <c r="AJ33" s="414"/>
      <c r="AK33" s="806">
        <f>11+20+21</f>
        <v>52</v>
      </c>
      <c r="AL33" s="806"/>
      <c r="AM33" s="806"/>
      <c r="AN33" s="806"/>
      <c r="AO33" s="806"/>
      <c r="AP33" s="806">
        <f>23+21+23</f>
        <v>67</v>
      </c>
      <c r="AQ33" s="806"/>
      <c r="AR33" s="806"/>
      <c r="AS33" s="806"/>
      <c r="AT33" s="806"/>
      <c r="AU33" s="414">
        <f>SUM(BA33:BJ33)</f>
        <v>30</v>
      </c>
      <c r="AV33" s="414"/>
      <c r="AW33" s="414"/>
      <c r="AX33" s="414"/>
      <c r="AY33" s="414"/>
      <c r="AZ33" s="414"/>
      <c r="BA33" s="806">
        <v>24</v>
      </c>
      <c r="BB33" s="806"/>
      <c r="BC33" s="806"/>
      <c r="BD33" s="806"/>
      <c r="BE33" s="806"/>
      <c r="BF33" s="806">
        <v>6</v>
      </c>
      <c r="BG33" s="806"/>
      <c r="BH33" s="806"/>
      <c r="BI33" s="806"/>
      <c r="BJ33" s="806"/>
    </row>
    <row r="34" spans="2:62" ht="13.5" customHeight="1">
      <c r="B34" s="321"/>
      <c r="C34" s="808" t="s">
        <v>519</v>
      </c>
      <c r="D34" s="808"/>
      <c r="E34" s="808"/>
      <c r="F34" s="808"/>
      <c r="G34" s="808"/>
      <c r="H34" s="808"/>
      <c r="I34" s="808"/>
      <c r="J34" s="808"/>
      <c r="K34" s="808"/>
      <c r="L34" s="808"/>
      <c r="M34" s="808"/>
      <c r="N34" s="320"/>
      <c r="O34" s="414">
        <f>SUM(U34:AD34)</f>
        <v>93</v>
      </c>
      <c r="P34" s="414"/>
      <c r="Q34" s="414"/>
      <c r="R34" s="414"/>
      <c r="S34" s="414"/>
      <c r="T34" s="414"/>
      <c r="U34" s="806">
        <f>5+7+16</f>
        <v>28</v>
      </c>
      <c r="V34" s="806"/>
      <c r="W34" s="806"/>
      <c r="X34" s="806"/>
      <c r="Y34" s="806"/>
      <c r="Z34" s="806">
        <f>18+23+24</f>
        <v>65</v>
      </c>
      <c r="AA34" s="806"/>
      <c r="AB34" s="806"/>
      <c r="AC34" s="806"/>
      <c r="AD34" s="806"/>
      <c r="AE34" s="414">
        <f>SUM(AK34:AT34)</f>
        <v>88</v>
      </c>
      <c r="AF34" s="414"/>
      <c r="AG34" s="414"/>
      <c r="AH34" s="414"/>
      <c r="AI34" s="414"/>
      <c r="AJ34" s="414"/>
      <c r="AK34" s="806">
        <f>5+7+16</f>
        <v>28</v>
      </c>
      <c r="AL34" s="806"/>
      <c r="AM34" s="806"/>
      <c r="AN34" s="806"/>
      <c r="AO34" s="806"/>
      <c r="AP34" s="806">
        <f>18+20+22</f>
        <v>60</v>
      </c>
      <c r="AQ34" s="806"/>
      <c r="AR34" s="806"/>
      <c r="AS34" s="806"/>
      <c r="AT34" s="806"/>
      <c r="AU34" s="414">
        <f>SUM(BA34:BJ34)</f>
        <v>22</v>
      </c>
      <c r="AV34" s="414"/>
      <c r="AW34" s="414"/>
      <c r="AX34" s="414"/>
      <c r="AY34" s="414"/>
      <c r="AZ34" s="414"/>
      <c r="BA34" s="806">
        <v>17</v>
      </c>
      <c r="BB34" s="806"/>
      <c r="BC34" s="806"/>
      <c r="BD34" s="806"/>
      <c r="BE34" s="806"/>
      <c r="BF34" s="806">
        <v>5</v>
      </c>
      <c r="BG34" s="806"/>
      <c r="BH34" s="806"/>
      <c r="BI34" s="806"/>
      <c r="BJ34" s="806"/>
    </row>
    <row r="35" spans="2:62" ht="14.25" customHeight="1">
      <c r="B35" s="321" t="s">
        <v>489</v>
      </c>
      <c r="C35" s="808" t="s">
        <v>518</v>
      </c>
      <c r="D35" s="808"/>
      <c r="E35" s="808"/>
      <c r="F35" s="808"/>
      <c r="G35" s="808"/>
      <c r="H35" s="808"/>
      <c r="I35" s="808"/>
      <c r="J35" s="808"/>
      <c r="K35" s="808"/>
      <c r="L35" s="808"/>
      <c r="M35" s="808"/>
      <c r="N35" s="320"/>
      <c r="O35" s="414">
        <f>SUM(U35:AD35)</f>
        <v>124</v>
      </c>
      <c r="P35" s="414"/>
      <c r="Q35" s="414"/>
      <c r="R35" s="414"/>
      <c r="S35" s="414"/>
      <c r="T35" s="414"/>
      <c r="U35" s="806">
        <f>12+19+21</f>
        <v>52</v>
      </c>
      <c r="V35" s="806"/>
      <c r="W35" s="806"/>
      <c r="X35" s="806"/>
      <c r="Y35" s="806"/>
      <c r="Z35" s="806">
        <f>24+24+24</f>
        <v>72</v>
      </c>
      <c r="AA35" s="806"/>
      <c r="AB35" s="806"/>
      <c r="AC35" s="806"/>
      <c r="AD35" s="806"/>
      <c r="AE35" s="414">
        <f>SUM(AK35:AT35)</f>
        <v>122</v>
      </c>
      <c r="AF35" s="414"/>
      <c r="AG35" s="414"/>
      <c r="AH35" s="414"/>
      <c r="AI35" s="414"/>
      <c r="AJ35" s="414"/>
      <c r="AK35" s="806">
        <f>12+19+21</f>
        <v>52</v>
      </c>
      <c r="AL35" s="806"/>
      <c r="AM35" s="806"/>
      <c r="AN35" s="806"/>
      <c r="AO35" s="806"/>
      <c r="AP35" s="806">
        <f>24+24+22</f>
        <v>70</v>
      </c>
      <c r="AQ35" s="806"/>
      <c r="AR35" s="806"/>
      <c r="AS35" s="806"/>
      <c r="AT35" s="806"/>
      <c r="AU35" s="414">
        <f>SUM(BA35:BJ35)</f>
        <v>32</v>
      </c>
      <c r="AV35" s="414"/>
      <c r="AW35" s="414"/>
      <c r="AX35" s="414"/>
      <c r="AY35" s="414"/>
      <c r="AZ35" s="414"/>
      <c r="BA35" s="806">
        <v>25</v>
      </c>
      <c r="BB35" s="806"/>
      <c r="BC35" s="806"/>
      <c r="BD35" s="806"/>
      <c r="BE35" s="806"/>
      <c r="BF35" s="806">
        <v>7</v>
      </c>
      <c r="BG35" s="806"/>
      <c r="BH35" s="806"/>
      <c r="BI35" s="806"/>
      <c r="BJ35" s="806"/>
    </row>
    <row r="36" spans="2:62" ht="8.1" customHeight="1">
      <c r="B36" s="321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0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3"/>
      <c r="BG36" s="303"/>
      <c r="BH36" s="303"/>
      <c r="BI36" s="303"/>
      <c r="BJ36" s="303"/>
    </row>
    <row r="37" spans="2:62" ht="13.5" customHeight="1">
      <c r="B37" s="321"/>
      <c r="C37" s="808" t="s">
        <v>517</v>
      </c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320"/>
      <c r="O37" s="414">
        <f>SUM(U37:AD37)</f>
        <v>92</v>
      </c>
      <c r="P37" s="414"/>
      <c r="Q37" s="414"/>
      <c r="R37" s="414"/>
      <c r="S37" s="414"/>
      <c r="T37" s="414"/>
      <c r="U37" s="806">
        <f>10+17</f>
        <v>27</v>
      </c>
      <c r="V37" s="806"/>
      <c r="W37" s="806"/>
      <c r="X37" s="806"/>
      <c r="Y37" s="806"/>
      <c r="Z37" s="806">
        <f>20+22+23</f>
        <v>65</v>
      </c>
      <c r="AA37" s="806"/>
      <c r="AB37" s="806"/>
      <c r="AC37" s="806"/>
      <c r="AD37" s="806"/>
      <c r="AE37" s="414">
        <f>SUM(AK37:AT37)</f>
        <v>85</v>
      </c>
      <c r="AF37" s="414"/>
      <c r="AG37" s="414"/>
      <c r="AH37" s="414"/>
      <c r="AI37" s="414"/>
      <c r="AJ37" s="414"/>
      <c r="AK37" s="806">
        <f>10+17</f>
        <v>27</v>
      </c>
      <c r="AL37" s="806"/>
      <c r="AM37" s="806"/>
      <c r="AN37" s="806"/>
      <c r="AO37" s="806"/>
      <c r="AP37" s="806">
        <f>20+20+18</f>
        <v>58</v>
      </c>
      <c r="AQ37" s="806"/>
      <c r="AR37" s="806"/>
      <c r="AS37" s="806"/>
      <c r="AT37" s="806"/>
      <c r="AU37" s="414">
        <f>SUM(BA37:BJ37)</f>
        <v>18</v>
      </c>
      <c r="AV37" s="414"/>
      <c r="AW37" s="414"/>
      <c r="AX37" s="414"/>
      <c r="AY37" s="414"/>
      <c r="AZ37" s="414"/>
      <c r="BA37" s="806">
        <v>14</v>
      </c>
      <c r="BB37" s="806"/>
      <c r="BC37" s="806"/>
      <c r="BD37" s="806"/>
      <c r="BE37" s="806"/>
      <c r="BF37" s="806">
        <v>4</v>
      </c>
      <c r="BG37" s="806"/>
      <c r="BH37" s="806"/>
      <c r="BI37" s="806"/>
      <c r="BJ37" s="806"/>
    </row>
    <row r="38" spans="2:62" ht="13.5" customHeight="1">
      <c r="B38" s="321"/>
      <c r="C38" s="808" t="s">
        <v>516</v>
      </c>
      <c r="D38" s="808"/>
      <c r="E38" s="808"/>
      <c r="F38" s="808"/>
      <c r="G38" s="808"/>
      <c r="H38" s="808"/>
      <c r="I38" s="808"/>
      <c r="J38" s="808"/>
      <c r="K38" s="808"/>
      <c r="L38" s="808"/>
      <c r="M38" s="808"/>
      <c r="N38" s="320"/>
      <c r="O38" s="414">
        <f>SUM(U38:AD38)</f>
        <v>124</v>
      </c>
      <c r="P38" s="414"/>
      <c r="Q38" s="414"/>
      <c r="R38" s="414"/>
      <c r="S38" s="414"/>
      <c r="T38" s="414"/>
      <c r="U38" s="806">
        <f>8+21+23</f>
        <v>52</v>
      </c>
      <c r="V38" s="806"/>
      <c r="W38" s="806"/>
      <c r="X38" s="806"/>
      <c r="Y38" s="806"/>
      <c r="Z38" s="806">
        <v>72</v>
      </c>
      <c r="AA38" s="806"/>
      <c r="AB38" s="806"/>
      <c r="AC38" s="806"/>
      <c r="AD38" s="806"/>
      <c r="AE38" s="414">
        <f>SUM(AK38:AT38)</f>
        <v>116</v>
      </c>
      <c r="AF38" s="414"/>
      <c r="AG38" s="414"/>
      <c r="AH38" s="414"/>
      <c r="AI38" s="414"/>
      <c r="AJ38" s="414"/>
      <c r="AK38" s="806">
        <f>8+21+23</f>
        <v>52</v>
      </c>
      <c r="AL38" s="806"/>
      <c r="AM38" s="806"/>
      <c r="AN38" s="806"/>
      <c r="AO38" s="806"/>
      <c r="AP38" s="806">
        <f>23+24+17</f>
        <v>64</v>
      </c>
      <c r="AQ38" s="806"/>
      <c r="AR38" s="806"/>
      <c r="AS38" s="806"/>
      <c r="AT38" s="806"/>
      <c r="AU38" s="414">
        <f>SUM(BA38:BJ38)</f>
        <v>25</v>
      </c>
      <c r="AV38" s="414"/>
      <c r="AW38" s="414"/>
      <c r="AX38" s="414"/>
      <c r="AY38" s="414"/>
      <c r="AZ38" s="414"/>
      <c r="BA38" s="806">
        <v>20</v>
      </c>
      <c r="BB38" s="806"/>
      <c r="BC38" s="806"/>
      <c r="BD38" s="806"/>
      <c r="BE38" s="806"/>
      <c r="BF38" s="806">
        <v>5</v>
      </c>
      <c r="BG38" s="806"/>
      <c r="BH38" s="806"/>
      <c r="BI38" s="806"/>
      <c r="BJ38" s="806"/>
    </row>
    <row r="39" spans="2:62" ht="13.5" customHeight="1">
      <c r="B39" s="321"/>
      <c r="C39" s="808" t="s">
        <v>515</v>
      </c>
      <c r="D39" s="808"/>
      <c r="E39" s="808"/>
      <c r="F39" s="808"/>
      <c r="G39" s="808"/>
      <c r="H39" s="808"/>
      <c r="I39" s="808"/>
      <c r="J39" s="808"/>
      <c r="K39" s="808"/>
      <c r="L39" s="808"/>
      <c r="M39" s="808"/>
      <c r="N39" s="320"/>
      <c r="O39" s="414">
        <f>SUM(U39:AD39)</f>
        <v>104</v>
      </c>
      <c r="P39" s="414"/>
      <c r="Q39" s="414"/>
      <c r="R39" s="414"/>
      <c r="S39" s="414"/>
      <c r="T39" s="414"/>
      <c r="U39" s="806">
        <f>8+15+16</f>
        <v>39</v>
      </c>
      <c r="V39" s="806"/>
      <c r="W39" s="806"/>
      <c r="X39" s="806"/>
      <c r="Y39" s="806"/>
      <c r="Z39" s="806">
        <f>20+22+23</f>
        <v>65</v>
      </c>
      <c r="AA39" s="806"/>
      <c r="AB39" s="806"/>
      <c r="AC39" s="806"/>
      <c r="AD39" s="806"/>
      <c r="AE39" s="414">
        <f>SUM(AK39:AT39)</f>
        <v>73</v>
      </c>
      <c r="AF39" s="414"/>
      <c r="AG39" s="414"/>
      <c r="AH39" s="414"/>
      <c r="AI39" s="414"/>
      <c r="AJ39" s="414"/>
      <c r="AK39" s="806">
        <f>8+14</f>
        <v>22</v>
      </c>
      <c r="AL39" s="806"/>
      <c r="AM39" s="806"/>
      <c r="AN39" s="806"/>
      <c r="AO39" s="806"/>
      <c r="AP39" s="806">
        <f>14+18+19</f>
        <v>51</v>
      </c>
      <c r="AQ39" s="806"/>
      <c r="AR39" s="806"/>
      <c r="AS39" s="806"/>
      <c r="AT39" s="806"/>
      <c r="AU39" s="414">
        <f>SUM(BA39:BJ39)</f>
        <v>23</v>
      </c>
      <c r="AV39" s="414"/>
      <c r="AW39" s="414"/>
      <c r="AX39" s="414"/>
      <c r="AY39" s="414"/>
      <c r="AZ39" s="414"/>
      <c r="BA39" s="806">
        <v>17</v>
      </c>
      <c r="BB39" s="806"/>
      <c r="BC39" s="806"/>
      <c r="BD39" s="806"/>
      <c r="BE39" s="806"/>
      <c r="BF39" s="806">
        <v>6</v>
      </c>
      <c r="BG39" s="806"/>
      <c r="BH39" s="806"/>
      <c r="BI39" s="806"/>
      <c r="BJ39" s="806"/>
    </row>
    <row r="40" spans="2:62" ht="13.5" customHeight="1">
      <c r="B40" s="321"/>
      <c r="C40" s="808" t="s">
        <v>514</v>
      </c>
      <c r="D40" s="808"/>
      <c r="E40" s="808"/>
      <c r="F40" s="808"/>
      <c r="G40" s="808"/>
      <c r="H40" s="808"/>
      <c r="I40" s="808"/>
      <c r="J40" s="808"/>
      <c r="K40" s="808"/>
      <c r="L40" s="808"/>
      <c r="M40" s="808"/>
      <c r="N40" s="320"/>
      <c r="O40" s="414">
        <f>SUM(U40:AD40)</f>
        <v>119</v>
      </c>
      <c r="P40" s="414"/>
      <c r="Q40" s="414"/>
      <c r="R40" s="414"/>
      <c r="S40" s="414"/>
      <c r="T40" s="414"/>
      <c r="U40" s="806">
        <f>9+20+21</f>
        <v>50</v>
      </c>
      <c r="V40" s="806"/>
      <c r="W40" s="806"/>
      <c r="X40" s="806"/>
      <c r="Y40" s="806"/>
      <c r="Z40" s="806">
        <f>23+23+23</f>
        <v>69</v>
      </c>
      <c r="AA40" s="806"/>
      <c r="AB40" s="806"/>
      <c r="AC40" s="806"/>
      <c r="AD40" s="806"/>
      <c r="AE40" s="414">
        <f>SUM(AK40:AT40)</f>
        <v>113</v>
      </c>
      <c r="AF40" s="414"/>
      <c r="AG40" s="414"/>
      <c r="AH40" s="414"/>
      <c r="AI40" s="414"/>
      <c r="AJ40" s="414"/>
      <c r="AK40" s="806">
        <f>8+20+21</f>
        <v>49</v>
      </c>
      <c r="AL40" s="806"/>
      <c r="AM40" s="806"/>
      <c r="AN40" s="806"/>
      <c r="AO40" s="806"/>
      <c r="AP40" s="806">
        <f>23+21+20</f>
        <v>64</v>
      </c>
      <c r="AQ40" s="806"/>
      <c r="AR40" s="806"/>
      <c r="AS40" s="806"/>
      <c r="AT40" s="806"/>
      <c r="AU40" s="414">
        <f>SUM(BA40:BJ40)</f>
        <v>28</v>
      </c>
      <c r="AV40" s="414"/>
      <c r="AW40" s="414"/>
      <c r="AX40" s="414"/>
      <c r="AY40" s="414"/>
      <c r="AZ40" s="414"/>
      <c r="BA40" s="806">
        <v>21</v>
      </c>
      <c r="BB40" s="806"/>
      <c r="BC40" s="806"/>
      <c r="BD40" s="806"/>
      <c r="BE40" s="806"/>
      <c r="BF40" s="806">
        <v>7</v>
      </c>
      <c r="BG40" s="806"/>
      <c r="BH40" s="806"/>
      <c r="BI40" s="806"/>
      <c r="BJ40" s="806"/>
    </row>
    <row r="41" spans="2:62" ht="14.25" customHeight="1">
      <c r="B41" s="321"/>
      <c r="C41" s="808" t="s">
        <v>513</v>
      </c>
      <c r="D41" s="808"/>
      <c r="E41" s="808"/>
      <c r="F41" s="808"/>
      <c r="G41" s="808"/>
      <c r="H41" s="808"/>
      <c r="I41" s="808"/>
      <c r="J41" s="808"/>
      <c r="K41" s="808"/>
      <c r="L41" s="808"/>
      <c r="M41" s="808"/>
      <c r="N41" s="320"/>
      <c r="O41" s="414">
        <f>SUM(U41:AD41)</f>
        <v>128</v>
      </c>
      <c r="P41" s="414"/>
      <c r="Q41" s="414"/>
      <c r="R41" s="414"/>
      <c r="S41" s="414"/>
      <c r="T41" s="414"/>
      <c r="U41" s="806">
        <f>12+21+23</f>
        <v>56</v>
      </c>
      <c r="V41" s="806"/>
      <c r="W41" s="806"/>
      <c r="X41" s="806"/>
      <c r="Y41" s="806"/>
      <c r="Z41" s="806">
        <f>24*3</f>
        <v>72</v>
      </c>
      <c r="AA41" s="806"/>
      <c r="AB41" s="806"/>
      <c r="AC41" s="806"/>
      <c r="AD41" s="806"/>
      <c r="AE41" s="414">
        <f>SUM(AK41:AT41)</f>
        <v>125</v>
      </c>
      <c r="AF41" s="414"/>
      <c r="AG41" s="414"/>
      <c r="AH41" s="414"/>
      <c r="AI41" s="414"/>
      <c r="AJ41" s="414"/>
      <c r="AK41" s="806">
        <f>11+21+23</f>
        <v>55</v>
      </c>
      <c r="AL41" s="806"/>
      <c r="AM41" s="806"/>
      <c r="AN41" s="806"/>
      <c r="AO41" s="806"/>
      <c r="AP41" s="806">
        <f>24+24+22</f>
        <v>70</v>
      </c>
      <c r="AQ41" s="806"/>
      <c r="AR41" s="806"/>
      <c r="AS41" s="806"/>
      <c r="AT41" s="806"/>
      <c r="AU41" s="414">
        <f>SUM(BA41:BJ41)</f>
        <v>31</v>
      </c>
      <c r="AV41" s="414"/>
      <c r="AW41" s="414"/>
      <c r="AX41" s="414"/>
      <c r="AY41" s="414"/>
      <c r="AZ41" s="414"/>
      <c r="BA41" s="806">
        <v>25</v>
      </c>
      <c r="BB41" s="806"/>
      <c r="BC41" s="806"/>
      <c r="BD41" s="806"/>
      <c r="BE41" s="806"/>
      <c r="BF41" s="806">
        <v>6</v>
      </c>
      <c r="BG41" s="806"/>
      <c r="BH41" s="806"/>
      <c r="BI41" s="806"/>
      <c r="BJ41" s="806"/>
    </row>
    <row r="42" spans="2:62" ht="8.1" customHeight="1">
      <c r="B42" s="321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0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3"/>
      <c r="BF42" s="303"/>
      <c r="BG42" s="303"/>
      <c r="BH42" s="303"/>
      <c r="BI42" s="303"/>
      <c r="BJ42" s="303"/>
    </row>
    <row r="43" spans="2:62" ht="13.5" customHeight="1">
      <c r="B43" s="321" t="s">
        <v>489</v>
      </c>
      <c r="C43" s="808" t="s">
        <v>512</v>
      </c>
      <c r="D43" s="808"/>
      <c r="E43" s="808"/>
      <c r="F43" s="808"/>
      <c r="G43" s="808"/>
      <c r="H43" s="808"/>
      <c r="I43" s="808"/>
      <c r="J43" s="808"/>
      <c r="K43" s="808"/>
      <c r="L43" s="808"/>
      <c r="M43" s="808"/>
      <c r="N43" s="320"/>
      <c r="O43" s="414">
        <f>SUM(U43:AD43)</f>
        <v>125</v>
      </c>
      <c r="P43" s="414"/>
      <c r="Q43" s="414"/>
      <c r="R43" s="414"/>
      <c r="S43" s="414"/>
      <c r="T43" s="414"/>
      <c r="U43" s="806">
        <f>12+19+22</f>
        <v>53</v>
      </c>
      <c r="V43" s="806"/>
      <c r="W43" s="806"/>
      <c r="X43" s="806"/>
      <c r="Y43" s="806"/>
      <c r="Z43" s="806">
        <f>24*3</f>
        <v>72</v>
      </c>
      <c r="AA43" s="806"/>
      <c r="AB43" s="806"/>
      <c r="AC43" s="806"/>
      <c r="AD43" s="806"/>
      <c r="AE43" s="414">
        <f>SUM(AK43:AT43)</f>
        <v>125</v>
      </c>
      <c r="AF43" s="414"/>
      <c r="AG43" s="414"/>
      <c r="AH43" s="414"/>
      <c r="AI43" s="414"/>
      <c r="AJ43" s="414"/>
      <c r="AK43" s="806">
        <f>12+19+22</f>
        <v>53</v>
      </c>
      <c r="AL43" s="806"/>
      <c r="AM43" s="806"/>
      <c r="AN43" s="806"/>
      <c r="AO43" s="806"/>
      <c r="AP43" s="806">
        <f>24*3</f>
        <v>72</v>
      </c>
      <c r="AQ43" s="806"/>
      <c r="AR43" s="806"/>
      <c r="AS43" s="806"/>
      <c r="AT43" s="806"/>
      <c r="AU43" s="414">
        <f>SUM(BA43:BJ43)</f>
        <v>29</v>
      </c>
      <c r="AV43" s="414"/>
      <c r="AW43" s="414"/>
      <c r="AX43" s="414"/>
      <c r="AY43" s="414"/>
      <c r="AZ43" s="414"/>
      <c r="BA43" s="806">
        <v>23</v>
      </c>
      <c r="BB43" s="806"/>
      <c r="BC43" s="806"/>
      <c r="BD43" s="806"/>
      <c r="BE43" s="806"/>
      <c r="BF43" s="806">
        <v>6</v>
      </c>
      <c r="BG43" s="806"/>
      <c r="BH43" s="806"/>
      <c r="BI43" s="806"/>
      <c r="BJ43" s="806"/>
    </row>
    <row r="44" spans="2:62" ht="13.5" customHeight="1">
      <c r="B44" s="321"/>
      <c r="C44" s="808" t="s">
        <v>511</v>
      </c>
      <c r="D44" s="808"/>
      <c r="E44" s="808"/>
      <c r="F44" s="808"/>
      <c r="G44" s="808"/>
      <c r="H44" s="808"/>
      <c r="I44" s="808"/>
      <c r="J44" s="808"/>
      <c r="K44" s="808"/>
      <c r="L44" s="808"/>
      <c r="M44" s="808"/>
      <c r="N44" s="320"/>
      <c r="O44" s="414">
        <f>SUM(U44:AD44)</f>
        <v>125</v>
      </c>
      <c r="P44" s="414"/>
      <c r="Q44" s="414"/>
      <c r="R44" s="414"/>
      <c r="S44" s="414"/>
      <c r="T44" s="414"/>
      <c r="U44" s="806">
        <f>12+19+23</f>
        <v>54</v>
      </c>
      <c r="V44" s="806"/>
      <c r="W44" s="806"/>
      <c r="X44" s="806"/>
      <c r="Y44" s="806"/>
      <c r="Z44" s="806">
        <f>23+24+24</f>
        <v>71</v>
      </c>
      <c r="AA44" s="806"/>
      <c r="AB44" s="806"/>
      <c r="AC44" s="806"/>
      <c r="AD44" s="806"/>
      <c r="AE44" s="414">
        <f>SUM(AK44:AT44)</f>
        <v>122</v>
      </c>
      <c r="AF44" s="414"/>
      <c r="AG44" s="414"/>
      <c r="AH44" s="414"/>
      <c r="AI44" s="414"/>
      <c r="AJ44" s="414"/>
      <c r="AK44" s="806">
        <f>12+19+23</f>
        <v>54</v>
      </c>
      <c r="AL44" s="806"/>
      <c r="AM44" s="806"/>
      <c r="AN44" s="806"/>
      <c r="AO44" s="806"/>
      <c r="AP44" s="806">
        <f>23+24+21</f>
        <v>68</v>
      </c>
      <c r="AQ44" s="806"/>
      <c r="AR44" s="806"/>
      <c r="AS44" s="806"/>
      <c r="AT44" s="806"/>
      <c r="AU44" s="414">
        <f>SUM(BA44:BJ44)</f>
        <v>30</v>
      </c>
      <c r="AV44" s="414"/>
      <c r="AW44" s="414"/>
      <c r="AX44" s="414"/>
      <c r="AY44" s="414"/>
      <c r="AZ44" s="414"/>
      <c r="BA44" s="806">
        <v>24</v>
      </c>
      <c r="BB44" s="806"/>
      <c r="BC44" s="806"/>
      <c r="BD44" s="806"/>
      <c r="BE44" s="806"/>
      <c r="BF44" s="806">
        <v>6</v>
      </c>
      <c r="BG44" s="806"/>
      <c r="BH44" s="806"/>
      <c r="BI44" s="806"/>
      <c r="BJ44" s="806"/>
    </row>
    <row r="45" spans="2:62" ht="13.5" customHeight="1">
      <c r="B45" s="321" t="s">
        <v>489</v>
      </c>
      <c r="C45" s="808" t="s">
        <v>510</v>
      </c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320"/>
      <c r="O45" s="414">
        <f>SUM(U45:AD45)</f>
        <v>120</v>
      </c>
      <c r="P45" s="414"/>
      <c r="Q45" s="414"/>
      <c r="R45" s="414"/>
      <c r="S45" s="414"/>
      <c r="T45" s="414"/>
      <c r="U45" s="806">
        <f>10+22+22</f>
        <v>54</v>
      </c>
      <c r="V45" s="806"/>
      <c r="W45" s="806"/>
      <c r="X45" s="806"/>
      <c r="Y45" s="806"/>
      <c r="Z45" s="806">
        <f>22*3</f>
        <v>66</v>
      </c>
      <c r="AA45" s="806"/>
      <c r="AB45" s="806"/>
      <c r="AC45" s="806"/>
      <c r="AD45" s="806"/>
      <c r="AE45" s="414">
        <f>SUM(AK45:AT45)</f>
        <v>120</v>
      </c>
      <c r="AF45" s="414"/>
      <c r="AG45" s="414"/>
      <c r="AH45" s="414"/>
      <c r="AI45" s="414"/>
      <c r="AJ45" s="414"/>
      <c r="AK45" s="806">
        <f>10+22+22</f>
        <v>54</v>
      </c>
      <c r="AL45" s="806"/>
      <c r="AM45" s="806"/>
      <c r="AN45" s="806"/>
      <c r="AO45" s="806"/>
      <c r="AP45" s="806">
        <f>22*3</f>
        <v>66</v>
      </c>
      <c r="AQ45" s="806"/>
      <c r="AR45" s="806"/>
      <c r="AS45" s="806"/>
      <c r="AT45" s="806"/>
      <c r="AU45" s="414">
        <f>SUM(BA45:BJ45)</f>
        <v>30</v>
      </c>
      <c r="AV45" s="414"/>
      <c r="AW45" s="414"/>
      <c r="AX45" s="414"/>
      <c r="AY45" s="414"/>
      <c r="AZ45" s="414"/>
      <c r="BA45" s="806">
        <v>24</v>
      </c>
      <c r="BB45" s="806"/>
      <c r="BC45" s="806"/>
      <c r="BD45" s="806"/>
      <c r="BE45" s="806"/>
      <c r="BF45" s="806">
        <v>6</v>
      </c>
      <c r="BG45" s="806"/>
      <c r="BH45" s="806"/>
      <c r="BI45" s="806"/>
      <c r="BJ45" s="806"/>
    </row>
    <row r="46" spans="2:62" ht="13.5" customHeight="1">
      <c r="B46" s="321"/>
      <c r="C46" s="808" t="s">
        <v>509</v>
      </c>
      <c r="D46" s="808"/>
      <c r="E46" s="808"/>
      <c r="F46" s="808"/>
      <c r="G46" s="808"/>
      <c r="H46" s="808"/>
      <c r="I46" s="808"/>
      <c r="J46" s="808"/>
      <c r="K46" s="808"/>
      <c r="L46" s="808"/>
      <c r="M46" s="808"/>
      <c r="N46" s="320"/>
      <c r="O46" s="414">
        <f>SUM(U46:AD46)</f>
        <v>127</v>
      </c>
      <c r="P46" s="414"/>
      <c r="Q46" s="414"/>
      <c r="R46" s="414"/>
      <c r="S46" s="414"/>
      <c r="T46" s="414"/>
      <c r="U46" s="806">
        <f>13+20+22</f>
        <v>55</v>
      </c>
      <c r="V46" s="806"/>
      <c r="W46" s="806"/>
      <c r="X46" s="806"/>
      <c r="Y46" s="806"/>
      <c r="Z46" s="806">
        <f>24*3</f>
        <v>72</v>
      </c>
      <c r="AA46" s="806"/>
      <c r="AB46" s="806"/>
      <c r="AC46" s="806"/>
      <c r="AD46" s="806"/>
      <c r="AE46" s="414">
        <f>SUM(AK46:AT46)</f>
        <v>125</v>
      </c>
      <c r="AF46" s="414"/>
      <c r="AG46" s="414"/>
      <c r="AH46" s="414"/>
      <c r="AI46" s="414"/>
      <c r="AJ46" s="414"/>
      <c r="AK46" s="806">
        <f>13+20+22</f>
        <v>55</v>
      </c>
      <c r="AL46" s="806"/>
      <c r="AM46" s="806"/>
      <c r="AN46" s="806"/>
      <c r="AO46" s="806"/>
      <c r="AP46" s="806">
        <f>24+23+23</f>
        <v>70</v>
      </c>
      <c r="AQ46" s="806"/>
      <c r="AR46" s="806"/>
      <c r="AS46" s="806"/>
      <c r="AT46" s="806"/>
      <c r="AU46" s="414">
        <f>SUM(BA46:BJ46)</f>
        <v>29</v>
      </c>
      <c r="AV46" s="414"/>
      <c r="AW46" s="414"/>
      <c r="AX46" s="414"/>
      <c r="AY46" s="414"/>
      <c r="AZ46" s="414"/>
      <c r="BA46" s="806">
        <v>22</v>
      </c>
      <c r="BB46" s="806"/>
      <c r="BC46" s="806"/>
      <c r="BD46" s="806"/>
      <c r="BE46" s="806"/>
      <c r="BF46" s="806">
        <v>7</v>
      </c>
      <c r="BG46" s="806"/>
      <c r="BH46" s="806"/>
      <c r="BI46" s="806"/>
      <c r="BJ46" s="806"/>
    </row>
    <row r="47" spans="2:62" ht="14.25" customHeight="1">
      <c r="B47" s="321" t="s">
        <v>489</v>
      </c>
      <c r="C47" s="808" t="s">
        <v>508</v>
      </c>
      <c r="D47" s="808"/>
      <c r="E47" s="808"/>
      <c r="F47" s="808"/>
      <c r="G47" s="808"/>
      <c r="H47" s="808"/>
      <c r="I47" s="808"/>
      <c r="J47" s="808"/>
      <c r="K47" s="808"/>
      <c r="L47" s="808"/>
      <c r="M47" s="808"/>
      <c r="N47" s="320"/>
      <c r="O47" s="414">
        <f>SUM(U47:AD47)</f>
        <v>130</v>
      </c>
      <c r="P47" s="414"/>
      <c r="Q47" s="414"/>
      <c r="R47" s="414"/>
      <c r="S47" s="414"/>
      <c r="T47" s="414"/>
      <c r="U47" s="806">
        <f>14+22+22</f>
        <v>58</v>
      </c>
      <c r="V47" s="806"/>
      <c r="W47" s="806"/>
      <c r="X47" s="806"/>
      <c r="Y47" s="806"/>
      <c r="Z47" s="806">
        <f>24*3</f>
        <v>72</v>
      </c>
      <c r="AA47" s="806"/>
      <c r="AB47" s="806"/>
      <c r="AC47" s="806"/>
      <c r="AD47" s="806"/>
      <c r="AE47" s="414">
        <f>SUM(AK47:AT47)</f>
        <v>130</v>
      </c>
      <c r="AF47" s="414"/>
      <c r="AG47" s="414"/>
      <c r="AH47" s="414"/>
      <c r="AI47" s="414"/>
      <c r="AJ47" s="414"/>
      <c r="AK47" s="806">
        <f>14+22+22</f>
        <v>58</v>
      </c>
      <c r="AL47" s="806"/>
      <c r="AM47" s="806"/>
      <c r="AN47" s="806"/>
      <c r="AO47" s="806"/>
      <c r="AP47" s="806">
        <f>24*3</f>
        <v>72</v>
      </c>
      <c r="AQ47" s="806"/>
      <c r="AR47" s="806"/>
      <c r="AS47" s="806"/>
      <c r="AT47" s="806"/>
      <c r="AU47" s="414">
        <f>SUM(BA47:BJ47)</f>
        <v>37</v>
      </c>
      <c r="AV47" s="414"/>
      <c r="AW47" s="414"/>
      <c r="AX47" s="414"/>
      <c r="AY47" s="414"/>
      <c r="AZ47" s="414"/>
      <c r="BA47" s="806">
        <v>30</v>
      </c>
      <c r="BB47" s="806"/>
      <c r="BC47" s="806"/>
      <c r="BD47" s="806"/>
      <c r="BE47" s="806"/>
      <c r="BF47" s="806">
        <v>7</v>
      </c>
      <c r="BG47" s="806"/>
      <c r="BH47" s="806"/>
      <c r="BI47" s="806"/>
      <c r="BJ47" s="806"/>
    </row>
    <row r="48" spans="2:62" ht="8.1" customHeight="1">
      <c r="B48" s="321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32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3"/>
      <c r="AL48" s="303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  <c r="BC48" s="303"/>
      <c r="BD48" s="303"/>
      <c r="BE48" s="303"/>
      <c r="BF48" s="303"/>
      <c r="BG48" s="303"/>
      <c r="BH48" s="303"/>
      <c r="BI48" s="303"/>
      <c r="BJ48" s="303"/>
    </row>
    <row r="49" spans="2:62" ht="13.5" customHeight="1">
      <c r="B49" s="321"/>
      <c r="C49" s="808" t="s">
        <v>507</v>
      </c>
      <c r="D49" s="808"/>
      <c r="E49" s="808"/>
      <c r="F49" s="808"/>
      <c r="G49" s="808"/>
      <c r="H49" s="808"/>
      <c r="I49" s="808"/>
      <c r="J49" s="808"/>
      <c r="K49" s="808"/>
      <c r="L49" s="808"/>
      <c r="M49" s="808"/>
      <c r="N49" s="320"/>
      <c r="O49" s="414">
        <f>SUM(U49:AD49)</f>
        <v>122</v>
      </c>
      <c r="P49" s="414"/>
      <c r="Q49" s="414"/>
      <c r="R49" s="414"/>
      <c r="S49" s="414"/>
      <c r="T49" s="414"/>
      <c r="U49" s="806">
        <f>9+21+23</f>
        <v>53</v>
      </c>
      <c r="V49" s="806"/>
      <c r="W49" s="806"/>
      <c r="X49" s="806"/>
      <c r="Y49" s="806"/>
      <c r="Z49" s="806">
        <f>23*3</f>
        <v>69</v>
      </c>
      <c r="AA49" s="806"/>
      <c r="AB49" s="806"/>
      <c r="AC49" s="806"/>
      <c r="AD49" s="806"/>
      <c r="AE49" s="414">
        <f>SUM(AK49:AT49)</f>
        <v>120</v>
      </c>
      <c r="AF49" s="414"/>
      <c r="AG49" s="414"/>
      <c r="AH49" s="414"/>
      <c r="AI49" s="414"/>
      <c r="AJ49" s="414"/>
      <c r="AK49" s="806">
        <f>9+21+23</f>
        <v>53</v>
      </c>
      <c r="AL49" s="806"/>
      <c r="AM49" s="806"/>
      <c r="AN49" s="806"/>
      <c r="AO49" s="806"/>
      <c r="AP49" s="806">
        <f>23+22+22</f>
        <v>67</v>
      </c>
      <c r="AQ49" s="806"/>
      <c r="AR49" s="806"/>
      <c r="AS49" s="806"/>
      <c r="AT49" s="806"/>
      <c r="AU49" s="414">
        <f>SUM(BA49:BJ49)</f>
        <v>28</v>
      </c>
      <c r="AV49" s="414"/>
      <c r="AW49" s="414"/>
      <c r="AX49" s="414"/>
      <c r="AY49" s="414"/>
      <c r="AZ49" s="414"/>
      <c r="BA49" s="806">
        <v>22</v>
      </c>
      <c r="BB49" s="806"/>
      <c r="BC49" s="806"/>
      <c r="BD49" s="806"/>
      <c r="BE49" s="806"/>
      <c r="BF49" s="806">
        <v>6</v>
      </c>
      <c r="BG49" s="806"/>
      <c r="BH49" s="806"/>
      <c r="BI49" s="806"/>
      <c r="BJ49" s="806"/>
    </row>
    <row r="50" spans="2:62" ht="13.5" customHeight="1">
      <c r="B50" s="321" t="s">
        <v>489</v>
      </c>
      <c r="C50" s="808" t="s">
        <v>506</v>
      </c>
      <c r="D50" s="808"/>
      <c r="E50" s="808"/>
      <c r="F50" s="808"/>
      <c r="G50" s="808"/>
      <c r="H50" s="808"/>
      <c r="I50" s="808"/>
      <c r="J50" s="808"/>
      <c r="K50" s="808"/>
      <c r="L50" s="808"/>
      <c r="M50" s="808"/>
      <c r="N50" s="320"/>
      <c r="O50" s="414">
        <f>SUM(U50:AD50)</f>
        <v>127</v>
      </c>
      <c r="P50" s="414"/>
      <c r="Q50" s="414"/>
      <c r="R50" s="414"/>
      <c r="S50" s="414"/>
      <c r="T50" s="414"/>
      <c r="U50" s="806">
        <f>14+21+23</f>
        <v>58</v>
      </c>
      <c r="V50" s="806"/>
      <c r="W50" s="806"/>
      <c r="X50" s="806"/>
      <c r="Y50" s="806"/>
      <c r="Z50" s="806">
        <f>23*3</f>
        <v>69</v>
      </c>
      <c r="AA50" s="806"/>
      <c r="AB50" s="806"/>
      <c r="AC50" s="806"/>
      <c r="AD50" s="806"/>
      <c r="AE50" s="414">
        <f>SUM(AK50:AT50)</f>
        <v>126</v>
      </c>
      <c r="AF50" s="414"/>
      <c r="AG50" s="414"/>
      <c r="AH50" s="414"/>
      <c r="AI50" s="414"/>
      <c r="AJ50" s="414"/>
      <c r="AK50" s="806">
        <f>13+21+23</f>
        <v>57</v>
      </c>
      <c r="AL50" s="806"/>
      <c r="AM50" s="806"/>
      <c r="AN50" s="806"/>
      <c r="AO50" s="806"/>
      <c r="AP50" s="806">
        <f>23*3</f>
        <v>69</v>
      </c>
      <c r="AQ50" s="806"/>
      <c r="AR50" s="806"/>
      <c r="AS50" s="806"/>
      <c r="AT50" s="806"/>
      <c r="AU50" s="414">
        <f>SUM(BA50:BJ50)</f>
        <v>30</v>
      </c>
      <c r="AV50" s="414"/>
      <c r="AW50" s="414"/>
      <c r="AX50" s="414"/>
      <c r="AY50" s="414"/>
      <c r="AZ50" s="414"/>
      <c r="BA50" s="806">
        <v>24</v>
      </c>
      <c r="BB50" s="806"/>
      <c r="BC50" s="806"/>
      <c r="BD50" s="806"/>
      <c r="BE50" s="806"/>
      <c r="BF50" s="806">
        <v>6</v>
      </c>
      <c r="BG50" s="806"/>
      <c r="BH50" s="806"/>
      <c r="BI50" s="806"/>
      <c r="BJ50" s="806"/>
    </row>
    <row r="51" spans="2:62" ht="13.5" customHeight="1">
      <c r="B51" s="321"/>
      <c r="C51" s="808" t="s">
        <v>505</v>
      </c>
      <c r="D51" s="808"/>
      <c r="E51" s="808"/>
      <c r="F51" s="808"/>
      <c r="G51" s="808"/>
      <c r="H51" s="808"/>
      <c r="I51" s="808"/>
      <c r="J51" s="808"/>
      <c r="K51" s="808"/>
      <c r="L51" s="808"/>
      <c r="M51" s="808"/>
      <c r="N51" s="320"/>
      <c r="O51" s="414">
        <f>SUM(U51:AD51)</f>
        <v>120</v>
      </c>
      <c r="P51" s="414"/>
      <c r="Q51" s="414"/>
      <c r="R51" s="414"/>
      <c r="S51" s="414"/>
      <c r="T51" s="414"/>
      <c r="U51" s="806">
        <f>9+20+22</f>
        <v>51</v>
      </c>
      <c r="V51" s="806"/>
      <c r="W51" s="806"/>
      <c r="X51" s="806"/>
      <c r="Y51" s="806"/>
      <c r="Z51" s="806">
        <f>23*3</f>
        <v>69</v>
      </c>
      <c r="AA51" s="806"/>
      <c r="AB51" s="806"/>
      <c r="AC51" s="806"/>
      <c r="AD51" s="806"/>
      <c r="AE51" s="414">
        <f>SUM(AK51:AT51)</f>
        <v>116</v>
      </c>
      <c r="AF51" s="414"/>
      <c r="AG51" s="414"/>
      <c r="AH51" s="414"/>
      <c r="AI51" s="414"/>
      <c r="AJ51" s="414"/>
      <c r="AK51" s="806">
        <f>9+20+22</f>
        <v>51</v>
      </c>
      <c r="AL51" s="806"/>
      <c r="AM51" s="806"/>
      <c r="AN51" s="806"/>
      <c r="AO51" s="806"/>
      <c r="AP51" s="806">
        <f>23+22+20</f>
        <v>65</v>
      </c>
      <c r="AQ51" s="806"/>
      <c r="AR51" s="806"/>
      <c r="AS51" s="806"/>
      <c r="AT51" s="806"/>
      <c r="AU51" s="414">
        <f>SUM(BA51:BJ51)</f>
        <v>28</v>
      </c>
      <c r="AV51" s="414"/>
      <c r="AW51" s="414"/>
      <c r="AX51" s="414"/>
      <c r="AY51" s="414"/>
      <c r="AZ51" s="414"/>
      <c r="BA51" s="806">
        <v>22</v>
      </c>
      <c r="BB51" s="806"/>
      <c r="BC51" s="806"/>
      <c r="BD51" s="806"/>
      <c r="BE51" s="806"/>
      <c r="BF51" s="806">
        <v>6</v>
      </c>
      <c r="BG51" s="806"/>
      <c r="BH51" s="806"/>
      <c r="BI51" s="806"/>
      <c r="BJ51" s="806"/>
    </row>
    <row r="52" spans="2:62" ht="13.5" customHeight="1">
      <c r="B52" s="321"/>
      <c r="C52" s="808" t="s">
        <v>504</v>
      </c>
      <c r="D52" s="808"/>
      <c r="E52" s="808"/>
      <c r="F52" s="808"/>
      <c r="G52" s="808"/>
      <c r="H52" s="808"/>
      <c r="I52" s="808"/>
      <c r="J52" s="808"/>
      <c r="K52" s="808"/>
      <c r="L52" s="808"/>
      <c r="M52" s="808"/>
      <c r="N52" s="320"/>
      <c r="O52" s="414">
        <f>SUM(U52:AD52)</f>
        <v>88</v>
      </c>
      <c r="P52" s="414"/>
      <c r="Q52" s="414"/>
      <c r="R52" s="414"/>
      <c r="S52" s="414"/>
      <c r="T52" s="414"/>
      <c r="U52" s="806">
        <f>6+14+17</f>
        <v>37</v>
      </c>
      <c r="V52" s="806"/>
      <c r="W52" s="806"/>
      <c r="X52" s="806"/>
      <c r="Y52" s="806"/>
      <c r="Z52" s="806">
        <v>51</v>
      </c>
      <c r="AA52" s="806"/>
      <c r="AB52" s="806"/>
      <c r="AC52" s="806"/>
      <c r="AD52" s="806"/>
      <c r="AE52" s="414">
        <f>SUM(AK52:AT52)</f>
        <v>87</v>
      </c>
      <c r="AF52" s="414"/>
      <c r="AG52" s="414"/>
      <c r="AH52" s="414"/>
      <c r="AI52" s="414"/>
      <c r="AJ52" s="414"/>
      <c r="AK52" s="806">
        <f>6+14+17</f>
        <v>37</v>
      </c>
      <c r="AL52" s="806"/>
      <c r="AM52" s="806"/>
      <c r="AN52" s="806"/>
      <c r="AO52" s="806"/>
      <c r="AP52" s="806">
        <f>16+17+17</f>
        <v>50</v>
      </c>
      <c r="AQ52" s="806"/>
      <c r="AR52" s="806"/>
      <c r="AS52" s="806"/>
      <c r="AT52" s="806"/>
      <c r="AU52" s="414">
        <f>SUM(BA52:BJ52)</f>
        <v>24</v>
      </c>
      <c r="AV52" s="414"/>
      <c r="AW52" s="414"/>
      <c r="AX52" s="414"/>
      <c r="AY52" s="414"/>
      <c r="AZ52" s="414"/>
      <c r="BA52" s="806">
        <v>19</v>
      </c>
      <c r="BB52" s="806"/>
      <c r="BC52" s="806"/>
      <c r="BD52" s="806"/>
      <c r="BE52" s="806"/>
      <c r="BF52" s="806">
        <v>5</v>
      </c>
      <c r="BG52" s="806"/>
      <c r="BH52" s="806"/>
      <c r="BI52" s="806"/>
      <c r="BJ52" s="806"/>
    </row>
    <row r="53" spans="2:62" ht="14.25" customHeight="1">
      <c r="B53" s="321"/>
      <c r="C53" s="808" t="s">
        <v>503</v>
      </c>
      <c r="D53" s="808"/>
      <c r="E53" s="808"/>
      <c r="F53" s="808"/>
      <c r="G53" s="808"/>
      <c r="H53" s="808"/>
      <c r="I53" s="808"/>
      <c r="J53" s="808"/>
      <c r="K53" s="808"/>
      <c r="L53" s="808"/>
      <c r="M53" s="808"/>
      <c r="N53" s="320"/>
      <c r="O53" s="414">
        <f>SUM(U53:AD53)</f>
        <v>123</v>
      </c>
      <c r="P53" s="414"/>
      <c r="Q53" s="414"/>
      <c r="R53" s="414"/>
      <c r="S53" s="414"/>
      <c r="T53" s="414"/>
      <c r="U53" s="806">
        <f>10+21+23</f>
        <v>54</v>
      </c>
      <c r="V53" s="806"/>
      <c r="W53" s="806"/>
      <c r="X53" s="806"/>
      <c r="Y53" s="806"/>
      <c r="Z53" s="806">
        <f>23*3</f>
        <v>69</v>
      </c>
      <c r="AA53" s="806"/>
      <c r="AB53" s="806"/>
      <c r="AC53" s="806"/>
      <c r="AD53" s="806"/>
      <c r="AE53" s="414">
        <f>SUM(AK53:AT53)</f>
        <v>121</v>
      </c>
      <c r="AF53" s="414"/>
      <c r="AG53" s="414"/>
      <c r="AH53" s="414"/>
      <c r="AI53" s="414"/>
      <c r="AJ53" s="414"/>
      <c r="AK53" s="806">
        <f>9+21+23</f>
        <v>53</v>
      </c>
      <c r="AL53" s="806"/>
      <c r="AM53" s="806"/>
      <c r="AN53" s="806"/>
      <c r="AO53" s="806"/>
      <c r="AP53" s="806">
        <f>23+23+22</f>
        <v>68</v>
      </c>
      <c r="AQ53" s="806"/>
      <c r="AR53" s="806"/>
      <c r="AS53" s="806"/>
      <c r="AT53" s="806"/>
      <c r="AU53" s="414">
        <f>SUM(BA53:BJ53)</f>
        <v>28</v>
      </c>
      <c r="AV53" s="414"/>
      <c r="AW53" s="414"/>
      <c r="AX53" s="414"/>
      <c r="AY53" s="414"/>
      <c r="AZ53" s="414"/>
      <c r="BA53" s="806">
        <v>22</v>
      </c>
      <c r="BB53" s="806"/>
      <c r="BC53" s="806"/>
      <c r="BD53" s="806"/>
      <c r="BE53" s="806"/>
      <c r="BF53" s="806">
        <v>6</v>
      </c>
      <c r="BG53" s="806"/>
      <c r="BH53" s="806"/>
      <c r="BI53" s="806"/>
      <c r="BJ53" s="806"/>
    </row>
    <row r="54" spans="2:62" ht="8.1" customHeight="1">
      <c r="B54" s="321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32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3"/>
      <c r="AI54" s="303"/>
      <c r="AJ54" s="303"/>
      <c r="AK54" s="303"/>
      <c r="AL54" s="303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3"/>
      <c r="BF54" s="303"/>
      <c r="BG54" s="303"/>
      <c r="BH54" s="303"/>
      <c r="BI54" s="303"/>
      <c r="BJ54" s="303"/>
    </row>
    <row r="55" spans="2:62" ht="13.5" customHeight="1">
      <c r="B55" s="321"/>
      <c r="C55" s="808" t="s">
        <v>502</v>
      </c>
      <c r="D55" s="808"/>
      <c r="E55" s="808"/>
      <c r="F55" s="808"/>
      <c r="G55" s="808"/>
      <c r="H55" s="808"/>
      <c r="I55" s="808"/>
      <c r="J55" s="808"/>
      <c r="K55" s="808"/>
      <c r="L55" s="808"/>
      <c r="M55" s="808"/>
      <c r="N55" s="320"/>
      <c r="O55" s="414">
        <f>SUM(U55:AD55)</f>
        <v>122</v>
      </c>
      <c r="P55" s="414"/>
      <c r="Q55" s="414"/>
      <c r="R55" s="414"/>
      <c r="S55" s="414"/>
      <c r="T55" s="414"/>
      <c r="U55" s="806">
        <f>10+19+21</f>
        <v>50</v>
      </c>
      <c r="V55" s="806"/>
      <c r="W55" s="806"/>
      <c r="X55" s="806"/>
      <c r="Y55" s="806"/>
      <c r="Z55" s="806">
        <f>23+24+25</f>
        <v>72</v>
      </c>
      <c r="AA55" s="806"/>
      <c r="AB55" s="806"/>
      <c r="AC55" s="806"/>
      <c r="AD55" s="806"/>
      <c r="AE55" s="414">
        <f>SUM(AK55:AT55)</f>
        <v>120</v>
      </c>
      <c r="AF55" s="414"/>
      <c r="AG55" s="414"/>
      <c r="AH55" s="414"/>
      <c r="AI55" s="414"/>
      <c r="AJ55" s="414"/>
      <c r="AK55" s="806">
        <f>10+19+21</f>
        <v>50</v>
      </c>
      <c r="AL55" s="806"/>
      <c r="AM55" s="806"/>
      <c r="AN55" s="806"/>
      <c r="AO55" s="806"/>
      <c r="AP55" s="806">
        <f>22+24+24</f>
        <v>70</v>
      </c>
      <c r="AQ55" s="806"/>
      <c r="AR55" s="806"/>
      <c r="AS55" s="806"/>
      <c r="AT55" s="806"/>
      <c r="AU55" s="414">
        <f>SUM(BA55:BJ55)</f>
        <v>27</v>
      </c>
      <c r="AV55" s="414"/>
      <c r="AW55" s="414"/>
      <c r="AX55" s="414"/>
      <c r="AY55" s="414"/>
      <c r="AZ55" s="414"/>
      <c r="BA55" s="806">
        <v>21</v>
      </c>
      <c r="BB55" s="806"/>
      <c r="BC55" s="806"/>
      <c r="BD55" s="806"/>
      <c r="BE55" s="806"/>
      <c r="BF55" s="806">
        <v>6</v>
      </c>
      <c r="BG55" s="806"/>
      <c r="BH55" s="806"/>
      <c r="BI55" s="806"/>
      <c r="BJ55" s="806"/>
    </row>
    <row r="56" spans="2:62" ht="13.5" customHeight="1">
      <c r="B56" s="321"/>
      <c r="C56" s="808" t="s">
        <v>501</v>
      </c>
      <c r="D56" s="808"/>
      <c r="E56" s="808"/>
      <c r="F56" s="808"/>
      <c r="G56" s="808"/>
      <c r="H56" s="808"/>
      <c r="I56" s="808"/>
      <c r="J56" s="808"/>
      <c r="K56" s="808"/>
      <c r="L56" s="808"/>
      <c r="M56" s="808"/>
      <c r="N56" s="320"/>
      <c r="O56" s="414">
        <f>SUM(U56:AD56)</f>
        <v>122</v>
      </c>
      <c r="P56" s="414"/>
      <c r="Q56" s="414"/>
      <c r="R56" s="414"/>
      <c r="S56" s="414"/>
      <c r="T56" s="414"/>
      <c r="U56" s="806">
        <f>9+19+22</f>
        <v>50</v>
      </c>
      <c r="V56" s="806"/>
      <c r="W56" s="806"/>
      <c r="X56" s="806"/>
      <c r="Y56" s="806"/>
      <c r="Z56" s="806">
        <f>23+24+25</f>
        <v>72</v>
      </c>
      <c r="AA56" s="806"/>
      <c r="AB56" s="806"/>
      <c r="AC56" s="806"/>
      <c r="AD56" s="806"/>
      <c r="AE56" s="414">
        <f>SUM(AK56:AT56)</f>
        <v>120</v>
      </c>
      <c r="AF56" s="414"/>
      <c r="AG56" s="414"/>
      <c r="AH56" s="414"/>
      <c r="AI56" s="414"/>
      <c r="AJ56" s="414"/>
      <c r="AK56" s="806">
        <f>9+19+22</f>
        <v>50</v>
      </c>
      <c r="AL56" s="806"/>
      <c r="AM56" s="806"/>
      <c r="AN56" s="806"/>
      <c r="AO56" s="806"/>
      <c r="AP56" s="806">
        <f>23+23+24</f>
        <v>70</v>
      </c>
      <c r="AQ56" s="806"/>
      <c r="AR56" s="806"/>
      <c r="AS56" s="806"/>
      <c r="AT56" s="806"/>
      <c r="AU56" s="414">
        <f>SUM(BA56:BJ56)</f>
        <v>25</v>
      </c>
      <c r="AV56" s="414"/>
      <c r="AW56" s="414"/>
      <c r="AX56" s="414"/>
      <c r="AY56" s="414"/>
      <c r="AZ56" s="414"/>
      <c r="BA56" s="806">
        <v>20</v>
      </c>
      <c r="BB56" s="806"/>
      <c r="BC56" s="806"/>
      <c r="BD56" s="806"/>
      <c r="BE56" s="806"/>
      <c r="BF56" s="806">
        <v>5</v>
      </c>
      <c r="BG56" s="806"/>
      <c r="BH56" s="806"/>
      <c r="BI56" s="806"/>
      <c r="BJ56" s="806"/>
    </row>
    <row r="57" spans="2:62" ht="13.5" customHeight="1">
      <c r="B57" s="321"/>
      <c r="C57" s="808" t="s">
        <v>500</v>
      </c>
      <c r="D57" s="808"/>
      <c r="E57" s="808"/>
      <c r="F57" s="808"/>
      <c r="G57" s="808"/>
      <c r="H57" s="808"/>
      <c r="I57" s="808"/>
      <c r="J57" s="808"/>
      <c r="K57" s="808"/>
      <c r="L57" s="808"/>
      <c r="M57" s="808"/>
      <c r="N57" s="320"/>
      <c r="O57" s="414">
        <f>SUM(U57:AD57)</f>
        <v>93</v>
      </c>
      <c r="P57" s="414"/>
      <c r="Q57" s="414"/>
      <c r="R57" s="414"/>
      <c r="S57" s="414"/>
      <c r="T57" s="414"/>
      <c r="U57" s="806">
        <v>28</v>
      </c>
      <c r="V57" s="806"/>
      <c r="W57" s="806"/>
      <c r="X57" s="806"/>
      <c r="Y57" s="806"/>
      <c r="Z57" s="806">
        <f>18+22+25</f>
        <v>65</v>
      </c>
      <c r="AA57" s="806"/>
      <c r="AB57" s="806"/>
      <c r="AC57" s="806"/>
      <c r="AD57" s="806"/>
      <c r="AE57" s="414">
        <f>SUM(AK57:AT57)</f>
        <v>89</v>
      </c>
      <c r="AF57" s="414"/>
      <c r="AG57" s="414"/>
      <c r="AH57" s="414"/>
      <c r="AI57" s="414"/>
      <c r="AJ57" s="414"/>
      <c r="AK57" s="806">
        <f>10+18</f>
        <v>28</v>
      </c>
      <c r="AL57" s="806"/>
      <c r="AM57" s="806"/>
      <c r="AN57" s="806"/>
      <c r="AO57" s="806"/>
      <c r="AP57" s="806">
        <f>18+20+23</f>
        <v>61</v>
      </c>
      <c r="AQ57" s="806"/>
      <c r="AR57" s="806"/>
      <c r="AS57" s="806"/>
      <c r="AT57" s="806"/>
      <c r="AU57" s="414">
        <f>SUM(BA57:BJ57)</f>
        <v>21</v>
      </c>
      <c r="AV57" s="414"/>
      <c r="AW57" s="414"/>
      <c r="AX57" s="414"/>
      <c r="AY57" s="414"/>
      <c r="AZ57" s="414"/>
      <c r="BA57" s="806">
        <v>16</v>
      </c>
      <c r="BB57" s="806"/>
      <c r="BC57" s="806"/>
      <c r="BD57" s="806"/>
      <c r="BE57" s="806"/>
      <c r="BF57" s="806">
        <v>5</v>
      </c>
      <c r="BG57" s="806"/>
      <c r="BH57" s="806"/>
      <c r="BI57" s="806"/>
      <c r="BJ57" s="806"/>
    </row>
    <row r="58" spans="2:62" ht="13.5" customHeight="1">
      <c r="B58" s="321"/>
      <c r="C58" s="808" t="s">
        <v>499</v>
      </c>
      <c r="D58" s="808"/>
      <c r="E58" s="808"/>
      <c r="F58" s="808"/>
      <c r="G58" s="808"/>
      <c r="H58" s="808"/>
      <c r="I58" s="808"/>
      <c r="J58" s="808"/>
      <c r="K58" s="808"/>
      <c r="L58" s="808"/>
      <c r="M58" s="808"/>
      <c r="N58" s="320"/>
      <c r="O58" s="414">
        <f>SUM(U58:AD58)</f>
        <v>50</v>
      </c>
      <c r="P58" s="414"/>
      <c r="Q58" s="414"/>
      <c r="R58" s="414"/>
      <c r="S58" s="414"/>
      <c r="T58" s="414"/>
      <c r="U58" s="806">
        <f>15+17+18</f>
        <v>50</v>
      </c>
      <c r="V58" s="806"/>
      <c r="W58" s="806"/>
      <c r="X58" s="806"/>
      <c r="Y58" s="806"/>
      <c r="Z58" s="418">
        <v>0</v>
      </c>
      <c r="AA58" s="418"/>
      <c r="AB58" s="418"/>
      <c r="AC58" s="418"/>
      <c r="AD58" s="418"/>
      <c r="AE58" s="414">
        <f>SUM(AK58:AT58)</f>
        <v>50</v>
      </c>
      <c r="AF58" s="414"/>
      <c r="AG58" s="414"/>
      <c r="AH58" s="414"/>
      <c r="AI58" s="414"/>
      <c r="AJ58" s="414"/>
      <c r="AK58" s="806">
        <f>15+17+18</f>
        <v>50</v>
      </c>
      <c r="AL58" s="806"/>
      <c r="AM58" s="806"/>
      <c r="AN58" s="806"/>
      <c r="AO58" s="806"/>
      <c r="AP58" s="418">
        <v>0</v>
      </c>
      <c r="AQ58" s="418"/>
      <c r="AR58" s="418"/>
      <c r="AS58" s="418"/>
      <c r="AT58" s="418"/>
      <c r="AU58" s="414">
        <f>SUM(BA58:BJ58)</f>
        <v>21</v>
      </c>
      <c r="AV58" s="414"/>
      <c r="AW58" s="414"/>
      <c r="AX58" s="414"/>
      <c r="AY58" s="414"/>
      <c r="AZ58" s="414"/>
      <c r="BA58" s="806">
        <v>16</v>
      </c>
      <c r="BB58" s="806"/>
      <c r="BC58" s="806"/>
      <c r="BD58" s="806"/>
      <c r="BE58" s="806"/>
      <c r="BF58" s="806">
        <v>5</v>
      </c>
      <c r="BG58" s="806"/>
      <c r="BH58" s="806"/>
      <c r="BI58" s="806"/>
      <c r="BJ58" s="806"/>
    </row>
    <row r="59" spans="2:62" ht="14.25" customHeight="1">
      <c r="B59" s="321"/>
      <c r="C59" s="808" t="s">
        <v>498</v>
      </c>
      <c r="D59" s="808"/>
      <c r="E59" s="808"/>
      <c r="F59" s="808"/>
      <c r="G59" s="808"/>
      <c r="H59" s="808"/>
      <c r="I59" s="808"/>
      <c r="J59" s="808"/>
      <c r="K59" s="808"/>
      <c r="L59" s="808"/>
      <c r="M59" s="808"/>
      <c r="N59" s="320"/>
      <c r="O59" s="414">
        <f>SUM(U59:AD59)</f>
        <v>78</v>
      </c>
      <c r="P59" s="414"/>
      <c r="Q59" s="414"/>
      <c r="R59" s="414"/>
      <c r="S59" s="414"/>
      <c r="T59" s="414"/>
      <c r="U59" s="806">
        <f>6+12</f>
        <v>18</v>
      </c>
      <c r="V59" s="806"/>
      <c r="W59" s="806"/>
      <c r="X59" s="806"/>
      <c r="Y59" s="806"/>
      <c r="Z59" s="806">
        <f>16+21+23</f>
        <v>60</v>
      </c>
      <c r="AA59" s="806"/>
      <c r="AB59" s="806"/>
      <c r="AC59" s="806"/>
      <c r="AD59" s="806"/>
      <c r="AE59" s="414">
        <f>SUM(AK59:AT59)</f>
        <v>70</v>
      </c>
      <c r="AF59" s="414"/>
      <c r="AG59" s="414"/>
      <c r="AH59" s="414"/>
      <c r="AI59" s="414"/>
      <c r="AJ59" s="414"/>
      <c r="AK59" s="806">
        <f>6+12</f>
        <v>18</v>
      </c>
      <c r="AL59" s="806"/>
      <c r="AM59" s="806"/>
      <c r="AN59" s="806"/>
      <c r="AO59" s="806"/>
      <c r="AP59" s="806">
        <f>16+21+15</f>
        <v>52</v>
      </c>
      <c r="AQ59" s="806"/>
      <c r="AR59" s="806"/>
      <c r="AS59" s="806"/>
      <c r="AT59" s="806"/>
      <c r="AU59" s="414">
        <f>SUM(BA59:BJ59)</f>
        <v>17</v>
      </c>
      <c r="AV59" s="414"/>
      <c r="AW59" s="414"/>
      <c r="AX59" s="414"/>
      <c r="AY59" s="414"/>
      <c r="AZ59" s="414"/>
      <c r="BA59" s="806">
        <v>13</v>
      </c>
      <c r="BB59" s="806"/>
      <c r="BC59" s="806"/>
      <c r="BD59" s="806"/>
      <c r="BE59" s="806"/>
      <c r="BF59" s="806">
        <v>4</v>
      </c>
      <c r="BG59" s="806"/>
      <c r="BH59" s="806"/>
      <c r="BI59" s="806"/>
      <c r="BJ59" s="806"/>
    </row>
    <row r="60" spans="2:62" ht="8.1" customHeight="1">
      <c r="B60" s="321"/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4"/>
      <c r="O60" s="322"/>
      <c r="P60" s="322"/>
      <c r="Q60" s="322"/>
      <c r="R60" s="322"/>
      <c r="S60" s="322"/>
      <c r="T60" s="322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2"/>
      <c r="AF60" s="322"/>
      <c r="AG60" s="322"/>
      <c r="AH60" s="322"/>
      <c r="AI60" s="322"/>
      <c r="AJ60" s="322"/>
      <c r="AK60" s="322"/>
      <c r="AL60" s="322"/>
      <c r="AM60" s="322"/>
      <c r="AN60" s="322"/>
      <c r="AO60" s="322"/>
      <c r="AP60" s="322"/>
      <c r="AQ60" s="322"/>
      <c r="AR60" s="322"/>
      <c r="AS60" s="322"/>
      <c r="AT60" s="322"/>
      <c r="AU60" s="322"/>
      <c r="AV60" s="322"/>
      <c r="AW60" s="322"/>
      <c r="AX60" s="322"/>
      <c r="AY60" s="322"/>
      <c r="AZ60" s="322"/>
      <c r="BA60" s="322"/>
      <c r="BB60" s="322"/>
      <c r="BC60" s="322"/>
      <c r="BD60" s="322"/>
      <c r="BE60" s="322"/>
      <c r="BF60" s="322"/>
      <c r="BG60" s="322"/>
      <c r="BH60" s="322"/>
      <c r="BI60" s="322"/>
      <c r="BJ60" s="322"/>
    </row>
    <row r="61" spans="2:62" ht="13.5" customHeight="1">
      <c r="B61" s="321"/>
      <c r="C61" s="808" t="s">
        <v>497</v>
      </c>
      <c r="D61" s="808"/>
      <c r="E61" s="808"/>
      <c r="F61" s="808"/>
      <c r="G61" s="808"/>
      <c r="H61" s="808"/>
      <c r="I61" s="808"/>
      <c r="J61" s="808"/>
      <c r="K61" s="808"/>
      <c r="L61" s="808"/>
      <c r="M61" s="808"/>
      <c r="N61" s="320"/>
      <c r="O61" s="414">
        <f>SUM(U61:AD61)</f>
        <v>93</v>
      </c>
      <c r="P61" s="414"/>
      <c r="Q61" s="414"/>
      <c r="R61" s="414"/>
      <c r="S61" s="414"/>
      <c r="T61" s="414"/>
      <c r="U61" s="806">
        <f>13+15</f>
        <v>28</v>
      </c>
      <c r="V61" s="806"/>
      <c r="W61" s="806"/>
      <c r="X61" s="806"/>
      <c r="Y61" s="806"/>
      <c r="Z61" s="806">
        <f>20+22+23</f>
        <v>65</v>
      </c>
      <c r="AA61" s="806"/>
      <c r="AB61" s="806"/>
      <c r="AC61" s="806"/>
      <c r="AD61" s="806"/>
      <c r="AE61" s="414">
        <f>SUM(AK61:AT61)</f>
        <v>92</v>
      </c>
      <c r="AF61" s="414"/>
      <c r="AG61" s="414"/>
      <c r="AH61" s="414"/>
      <c r="AI61" s="414"/>
      <c r="AJ61" s="414"/>
      <c r="AK61" s="806">
        <f>13+15</f>
        <v>28</v>
      </c>
      <c r="AL61" s="806"/>
      <c r="AM61" s="806"/>
      <c r="AN61" s="806"/>
      <c r="AO61" s="806"/>
      <c r="AP61" s="806">
        <f>20+22+22</f>
        <v>64</v>
      </c>
      <c r="AQ61" s="806"/>
      <c r="AR61" s="806"/>
      <c r="AS61" s="806"/>
      <c r="AT61" s="806"/>
      <c r="AU61" s="414">
        <f>SUM(BA61:BJ61)</f>
        <v>17</v>
      </c>
      <c r="AV61" s="414"/>
      <c r="AW61" s="414"/>
      <c r="AX61" s="414"/>
      <c r="AY61" s="414"/>
      <c r="AZ61" s="414"/>
      <c r="BA61" s="806">
        <v>14</v>
      </c>
      <c r="BB61" s="806"/>
      <c r="BC61" s="806"/>
      <c r="BD61" s="806"/>
      <c r="BE61" s="806"/>
      <c r="BF61" s="806">
        <v>3</v>
      </c>
      <c r="BG61" s="806"/>
      <c r="BH61" s="806"/>
      <c r="BI61" s="806"/>
      <c r="BJ61" s="806"/>
    </row>
    <row r="62" spans="2:62" ht="13.5" customHeight="1">
      <c r="B62" s="321"/>
      <c r="C62" s="808" t="s">
        <v>496</v>
      </c>
      <c r="D62" s="808"/>
      <c r="E62" s="808"/>
      <c r="F62" s="808"/>
      <c r="G62" s="808"/>
      <c r="H62" s="808"/>
      <c r="I62" s="808"/>
      <c r="J62" s="808"/>
      <c r="K62" s="808"/>
      <c r="L62" s="808"/>
      <c r="M62" s="808"/>
      <c r="N62" s="320"/>
      <c r="O62" s="414">
        <f>SUM(U62:AD62)</f>
        <v>69</v>
      </c>
      <c r="P62" s="414"/>
      <c r="Q62" s="414"/>
      <c r="R62" s="414"/>
      <c r="S62" s="414"/>
      <c r="T62" s="414"/>
      <c r="U62" s="806">
        <f>11+12</f>
        <v>23</v>
      </c>
      <c r="V62" s="806"/>
      <c r="W62" s="806"/>
      <c r="X62" s="806"/>
      <c r="Y62" s="806"/>
      <c r="Z62" s="806">
        <v>46</v>
      </c>
      <c r="AA62" s="806"/>
      <c r="AB62" s="806"/>
      <c r="AC62" s="806"/>
      <c r="AD62" s="806"/>
      <c r="AE62" s="414">
        <f>SUM(AK62:AT62)</f>
        <v>65</v>
      </c>
      <c r="AF62" s="414"/>
      <c r="AG62" s="414"/>
      <c r="AH62" s="414"/>
      <c r="AI62" s="414"/>
      <c r="AJ62" s="414"/>
      <c r="AK62" s="806">
        <f>11+12</f>
        <v>23</v>
      </c>
      <c r="AL62" s="806"/>
      <c r="AM62" s="806"/>
      <c r="AN62" s="806"/>
      <c r="AO62" s="806"/>
      <c r="AP62" s="806">
        <f>15+14+13</f>
        <v>42</v>
      </c>
      <c r="AQ62" s="806"/>
      <c r="AR62" s="806"/>
      <c r="AS62" s="806"/>
      <c r="AT62" s="806"/>
      <c r="AU62" s="414">
        <f>SUM(BA62:BJ62)</f>
        <v>16</v>
      </c>
      <c r="AV62" s="414"/>
      <c r="AW62" s="414"/>
      <c r="AX62" s="414"/>
      <c r="AY62" s="414"/>
      <c r="AZ62" s="414"/>
      <c r="BA62" s="806">
        <v>12</v>
      </c>
      <c r="BB62" s="806"/>
      <c r="BC62" s="806"/>
      <c r="BD62" s="806"/>
      <c r="BE62" s="806"/>
      <c r="BF62" s="806">
        <v>4</v>
      </c>
      <c r="BG62" s="806"/>
      <c r="BH62" s="806"/>
      <c r="BI62" s="806"/>
      <c r="BJ62" s="806"/>
    </row>
    <row r="63" spans="2:62" ht="13.5" customHeight="1">
      <c r="B63" s="321"/>
      <c r="C63" s="808" t="s">
        <v>495</v>
      </c>
      <c r="D63" s="808"/>
      <c r="E63" s="808"/>
      <c r="F63" s="808"/>
      <c r="G63" s="808"/>
      <c r="H63" s="808"/>
      <c r="I63" s="808"/>
      <c r="J63" s="808"/>
      <c r="K63" s="808"/>
      <c r="L63" s="808"/>
      <c r="M63" s="808"/>
      <c r="N63" s="320"/>
      <c r="O63" s="414">
        <f>SUM(U63:AD63)</f>
        <v>102</v>
      </c>
      <c r="P63" s="414"/>
      <c r="Q63" s="414"/>
      <c r="R63" s="414"/>
      <c r="S63" s="414"/>
      <c r="T63" s="414"/>
      <c r="U63" s="806">
        <f>5+16+16</f>
        <v>37</v>
      </c>
      <c r="V63" s="806"/>
      <c r="W63" s="806"/>
      <c r="X63" s="806"/>
      <c r="Y63" s="806"/>
      <c r="Z63" s="806">
        <f>20+22+23</f>
        <v>65</v>
      </c>
      <c r="AA63" s="806"/>
      <c r="AB63" s="806"/>
      <c r="AC63" s="806"/>
      <c r="AD63" s="806"/>
      <c r="AE63" s="414">
        <f>SUM(AK63:AT63)</f>
        <v>99</v>
      </c>
      <c r="AF63" s="414"/>
      <c r="AG63" s="414"/>
      <c r="AH63" s="414"/>
      <c r="AI63" s="414"/>
      <c r="AJ63" s="414"/>
      <c r="AK63" s="806">
        <f>5+16+16</f>
        <v>37</v>
      </c>
      <c r="AL63" s="806"/>
      <c r="AM63" s="806"/>
      <c r="AN63" s="806"/>
      <c r="AO63" s="806"/>
      <c r="AP63" s="806">
        <f>20+22+20</f>
        <v>62</v>
      </c>
      <c r="AQ63" s="806"/>
      <c r="AR63" s="806"/>
      <c r="AS63" s="806"/>
      <c r="AT63" s="806"/>
      <c r="AU63" s="414">
        <f>SUM(BA63:BJ63)</f>
        <v>25</v>
      </c>
      <c r="AV63" s="414"/>
      <c r="AW63" s="414"/>
      <c r="AX63" s="414"/>
      <c r="AY63" s="414"/>
      <c r="AZ63" s="414"/>
      <c r="BA63" s="806">
        <v>18</v>
      </c>
      <c r="BB63" s="806"/>
      <c r="BC63" s="806"/>
      <c r="BD63" s="806"/>
      <c r="BE63" s="806"/>
      <c r="BF63" s="806">
        <v>7</v>
      </c>
      <c r="BG63" s="806"/>
      <c r="BH63" s="806"/>
      <c r="BI63" s="806"/>
      <c r="BJ63" s="806"/>
    </row>
    <row r="64" spans="2:62" ht="13.5" customHeight="1">
      <c r="B64" s="321"/>
      <c r="C64" s="808" t="s">
        <v>494</v>
      </c>
      <c r="D64" s="808"/>
      <c r="E64" s="808"/>
      <c r="F64" s="808"/>
      <c r="G64" s="808"/>
      <c r="H64" s="808"/>
      <c r="I64" s="808"/>
      <c r="J64" s="808"/>
      <c r="K64" s="808"/>
      <c r="L64" s="808"/>
      <c r="M64" s="808"/>
      <c r="N64" s="320"/>
      <c r="O64" s="414">
        <f>SUM(U64:AD64)</f>
        <v>91</v>
      </c>
      <c r="P64" s="414"/>
      <c r="Q64" s="414"/>
      <c r="R64" s="414"/>
      <c r="S64" s="414"/>
      <c r="T64" s="414"/>
      <c r="U64" s="806">
        <f>7+15+16</f>
        <v>38</v>
      </c>
      <c r="V64" s="806"/>
      <c r="W64" s="806"/>
      <c r="X64" s="806"/>
      <c r="Y64" s="806"/>
      <c r="Z64" s="806">
        <f>17+18+18</f>
        <v>53</v>
      </c>
      <c r="AA64" s="806"/>
      <c r="AB64" s="806"/>
      <c r="AC64" s="806"/>
      <c r="AD64" s="806"/>
      <c r="AE64" s="414">
        <f>SUM(AK64:AT64)</f>
        <v>89</v>
      </c>
      <c r="AF64" s="414"/>
      <c r="AG64" s="414"/>
      <c r="AH64" s="414"/>
      <c r="AI64" s="414"/>
      <c r="AJ64" s="414"/>
      <c r="AK64" s="806">
        <f>6+15+16</f>
        <v>37</v>
      </c>
      <c r="AL64" s="806"/>
      <c r="AM64" s="806"/>
      <c r="AN64" s="806"/>
      <c r="AO64" s="806"/>
      <c r="AP64" s="806">
        <f>17+18+17</f>
        <v>52</v>
      </c>
      <c r="AQ64" s="806"/>
      <c r="AR64" s="806"/>
      <c r="AS64" s="806"/>
      <c r="AT64" s="806"/>
      <c r="AU64" s="414">
        <f>SUM(BA64:BJ64)</f>
        <v>22</v>
      </c>
      <c r="AV64" s="414"/>
      <c r="AW64" s="414"/>
      <c r="AX64" s="414"/>
      <c r="AY64" s="414"/>
      <c r="AZ64" s="414"/>
      <c r="BA64" s="806">
        <v>16</v>
      </c>
      <c r="BB64" s="806"/>
      <c r="BC64" s="806"/>
      <c r="BD64" s="806"/>
      <c r="BE64" s="806"/>
      <c r="BF64" s="806">
        <v>6</v>
      </c>
      <c r="BG64" s="806"/>
      <c r="BH64" s="806"/>
      <c r="BI64" s="806"/>
      <c r="BJ64" s="806"/>
    </row>
    <row r="65" spans="2:62" ht="14.25" customHeight="1">
      <c r="B65" s="321"/>
      <c r="C65" s="808" t="s">
        <v>493</v>
      </c>
      <c r="D65" s="808"/>
      <c r="E65" s="808"/>
      <c r="F65" s="808"/>
      <c r="G65" s="808"/>
      <c r="H65" s="808"/>
      <c r="I65" s="808"/>
      <c r="J65" s="808"/>
      <c r="K65" s="808"/>
      <c r="L65" s="808"/>
      <c r="M65" s="808"/>
      <c r="N65" s="320"/>
      <c r="O65" s="414">
        <f>SUM(U65:AD65)</f>
        <v>126</v>
      </c>
      <c r="P65" s="414"/>
      <c r="Q65" s="414"/>
      <c r="R65" s="414"/>
      <c r="S65" s="414"/>
      <c r="T65" s="414"/>
      <c r="U65" s="806">
        <f>11+18+22</f>
        <v>51</v>
      </c>
      <c r="V65" s="806"/>
      <c r="W65" s="806"/>
      <c r="X65" s="806"/>
      <c r="Y65" s="806"/>
      <c r="Z65" s="806">
        <f>24+25+26</f>
        <v>75</v>
      </c>
      <c r="AA65" s="806"/>
      <c r="AB65" s="806"/>
      <c r="AC65" s="806"/>
      <c r="AD65" s="806"/>
      <c r="AE65" s="414">
        <f>SUM(AK65:AT65)</f>
        <v>122</v>
      </c>
      <c r="AF65" s="414"/>
      <c r="AG65" s="414"/>
      <c r="AH65" s="414"/>
      <c r="AI65" s="414"/>
      <c r="AJ65" s="414"/>
      <c r="AK65" s="806">
        <f>9+18+22</f>
        <v>49</v>
      </c>
      <c r="AL65" s="806"/>
      <c r="AM65" s="806"/>
      <c r="AN65" s="806"/>
      <c r="AO65" s="806"/>
      <c r="AP65" s="806">
        <f>24+25+24</f>
        <v>73</v>
      </c>
      <c r="AQ65" s="806"/>
      <c r="AR65" s="806"/>
      <c r="AS65" s="806"/>
      <c r="AT65" s="806"/>
      <c r="AU65" s="414">
        <f>SUM(BA65:BJ65)</f>
        <v>29</v>
      </c>
      <c r="AV65" s="414"/>
      <c r="AW65" s="414"/>
      <c r="AX65" s="414"/>
      <c r="AY65" s="414"/>
      <c r="AZ65" s="414"/>
      <c r="BA65" s="806">
        <v>22</v>
      </c>
      <c r="BB65" s="806"/>
      <c r="BC65" s="806"/>
      <c r="BD65" s="806"/>
      <c r="BE65" s="806"/>
      <c r="BF65" s="806">
        <v>7</v>
      </c>
      <c r="BG65" s="806"/>
      <c r="BH65" s="806"/>
      <c r="BI65" s="806"/>
      <c r="BJ65" s="806"/>
    </row>
    <row r="66" spans="2:62" ht="8.1" customHeight="1">
      <c r="B66" s="321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32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  <c r="AJ66" s="303"/>
      <c r="AK66" s="303"/>
      <c r="AL66" s="303"/>
      <c r="AM66" s="303"/>
      <c r="AN66" s="303"/>
      <c r="AO66" s="303"/>
      <c r="AP66" s="303"/>
      <c r="AQ66" s="303"/>
      <c r="AR66" s="303"/>
      <c r="AS66" s="303"/>
      <c r="AT66" s="303"/>
      <c r="AU66" s="303"/>
      <c r="AV66" s="303"/>
      <c r="AW66" s="303"/>
      <c r="AX66" s="303"/>
      <c r="AY66" s="303"/>
      <c r="AZ66" s="303"/>
      <c r="BA66" s="303"/>
      <c r="BB66" s="303"/>
      <c r="BC66" s="303"/>
      <c r="BD66" s="303"/>
      <c r="BE66" s="303"/>
      <c r="BF66" s="303"/>
      <c r="BG66" s="303"/>
      <c r="BH66" s="303"/>
      <c r="BI66" s="303"/>
      <c r="BJ66" s="303"/>
    </row>
    <row r="67" spans="2:62" ht="13.5" customHeight="1">
      <c r="B67" s="321"/>
      <c r="C67" s="808" t="s">
        <v>492</v>
      </c>
      <c r="D67" s="808"/>
      <c r="E67" s="808"/>
      <c r="F67" s="808"/>
      <c r="G67" s="808"/>
      <c r="H67" s="808"/>
      <c r="I67" s="808"/>
      <c r="J67" s="808"/>
      <c r="K67" s="808"/>
      <c r="L67" s="808"/>
      <c r="M67" s="808"/>
      <c r="N67" s="320"/>
      <c r="O67" s="414">
        <f>SUM(U67:AD67)</f>
        <v>114</v>
      </c>
      <c r="P67" s="414"/>
      <c r="Q67" s="414"/>
      <c r="R67" s="414"/>
      <c r="S67" s="414"/>
      <c r="T67" s="414"/>
      <c r="U67" s="806">
        <v>49</v>
      </c>
      <c r="V67" s="806"/>
      <c r="W67" s="806"/>
      <c r="X67" s="806"/>
      <c r="Y67" s="806"/>
      <c r="Z67" s="806">
        <v>65</v>
      </c>
      <c r="AA67" s="806"/>
      <c r="AB67" s="806"/>
      <c r="AC67" s="806"/>
      <c r="AD67" s="806"/>
      <c r="AE67" s="414">
        <f>SUM(AK67:AT67)</f>
        <v>113</v>
      </c>
      <c r="AF67" s="414"/>
      <c r="AG67" s="414"/>
      <c r="AH67" s="414"/>
      <c r="AI67" s="414"/>
      <c r="AJ67" s="414"/>
      <c r="AK67" s="806">
        <f>11+18+19</f>
        <v>48</v>
      </c>
      <c r="AL67" s="806"/>
      <c r="AM67" s="806"/>
      <c r="AN67" s="806"/>
      <c r="AO67" s="806"/>
      <c r="AP67" s="806">
        <f>21+22+22</f>
        <v>65</v>
      </c>
      <c r="AQ67" s="806"/>
      <c r="AR67" s="806"/>
      <c r="AS67" s="806"/>
      <c r="AT67" s="806"/>
      <c r="AU67" s="414">
        <f>SUM(BA67:BJ67)</f>
        <v>29</v>
      </c>
      <c r="AV67" s="414"/>
      <c r="AW67" s="414"/>
      <c r="AX67" s="414"/>
      <c r="AY67" s="414"/>
      <c r="AZ67" s="414"/>
      <c r="BA67" s="806">
        <v>23</v>
      </c>
      <c r="BB67" s="806"/>
      <c r="BC67" s="806"/>
      <c r="BD67" s="806"/>
      <c r="BE67" s="806"/>
      <c r="BF67" s="806">
        <v>6</v>
      </c>
      <c r="BG67" s="806"/>
      <c r="BH67" s="806"/>
      <c r="BI67" s="806"/>
      <c r="BJ67" s="806"/>
    </row>
    <row r="68" spans="2:62" ht="13.5" customHeight="1">
      <c r="B68" s="321" t="s">
        <v>489</v>
      </c>
      <c r="C68" s="808" t="s">
        <v>491</v>
      </c>
      <c r="D68" s="808"/>
      <c r="E68" s="808"/>
      <c r="F68" s="808"/>
      <c r="G68" s="808"/>
      <c r="H68" s="808"/>
      <c r="I68" s="808"/>
      <c r="J68" s="808"/>
      <c r="K68" s="808"/>
      <c r="L68" s="808"/>
      <c r="M68" s="808"/>
      <c r="N68" s="320"/>
      <c r="O68" s="414">
        <f>SUM(U68:AD68)</f>
        <v>118</v>
      </c>
      <c r="P68" s="414"/>
      <c r="Q68" s="414"/>
      <c r="R68" s="414"/>
      <c r="S68" s="414"/>
      <c r="T68" s="414"/>
      <c r="U68" s="806">
        <v>50</v>
      </c>
      <c r="V68" s="806"/>
      <c r="W68" s="806"/>
      <c r="X68" s="806"/>
      <c r="Y68" s="806"/>
      <c r="Z68" s="806">
        <v>68</v>
      </c>
      <c r="AA68" s="806"/>
      <c r="AB68" s="806"/>
      <c r="AC68" s="806"/>
      <c r="AD68" s="806"/>
      <c r="AE68" s="414">
        <f>SUM(AK68:AT68)</f>
        <v>118</v>
      </c>
      <c r="AF68" s="414"/>
      <c r="AG68" s="414"/>
      <c r="AH68" s="414"/>
      <c r="AI68" s="414"/>
      <c r="AJ68" s="414"/>
      <c r="AK68" s="806">
        <f>12+18+20</f>
        <v>50</v>
      </c>
      <c r="AL68" s="806"/>
      <c r="AM68" s="806"/>
      <c r="AN68" s="806"/>
      <c r="AO68" s="806"/>
      <c r="AP68" s="806">
        <f>22+23+23</f>
        <v>68</v>
      </c>
      <c r="AQ68" s="806"/>
      <c r="AR68" s="806"/>
      <c r="AS68" s="806"/>
      <c r="AT68" s="806"/>
      <c r="AU68" s="414">
        <f>SUM(BA68:BJ68)</f>
        <v>33</v>
      </c>
      <c r="AV68" s="414"/>
      <c r="AW68" s="414"/>
      <c r="AX68" s="414"/>
      <c r="AY68" s="414"/>
      <c r="AZ68" s="414"/>
      <c r="BA68" s="806">
        <v>25</v>
      </c>
      <c r="BB68" s="806"/>
      <c r="BC68" s="806"/>
      <c r="BD68" s="806"/>
      <c r="BE68" s="806"/>
      <c r="BF68" s="806">
        <v>8</v>
      </c>
      <c r="BG68" s="806"/>
      <c r="BH68" s="806"/>
      <c r="BI68" s="806"/>
      <c r="BJ68" s="806"/>
    </row>
    <row r="69" spans="2:62" ht="13.5" customHeight="1">
      <c r="B69" s="321" t="s">
        <v>489</v>
      </c>
      <c r="C69" s="808" t="s">
        <v>490</v>
      </c>
      <c r="D69" s="808"/>
      <c r="E69" s="808"/>
      <c r="F69" s="808"/>
      <c r="G69" s="808"/>
      <c r="H69" s="808"/>
      <c r="I69" s="808"/>
      <c r="J69" s="808"/>
      <c r="K69" s="808"/>
      <c r="L69" s="808"/>
      <c r="M69" s="808"/>
      <c r="N69" s="320"/>
      <c r="O69" s="414">
        <f>SUM(U69:AD69)</f>
        <v>126</v>
      </c>
      <c r="P69" s="414"/>
      <c r="Q69" s="414"/>
      <c r="R69" s="414"/>
      <c r="S69" s="414"/>
      <c r="T69" s="414"/>
      <c r="U69" s="806">
        <v>55</v>
      </c>
      <c r="V69" s="806"/>
      <c r="W69" s="806"/>
      <c r="X69" s="806"/>
      <c r="Y69" s="806"/>
      <c r="Z69" s="806">
        <v>71</v>
      </c>
      <c r="AA69" s="806"/>
      <c r="AB69" s="806"/>
      <c r="AC69" s="806"/>
      <c r="AD69" s="806"/>
      <c r="AE69" s="414">
        <f>SUM(AK69:AT69)</f>
        <v>124</v>
      </c>
      <c r="AF69" s="414"/>
      <c r="AG69" s="414"/>
      <c r="AH69" s="414"/>
      <c r="AI69" s="414"/>
      <c r="AJ69" s="414"/>
      <c r="AK69" s="806">
        <f>11+21+22</f>
        <v>54</v>
      </c>
      <c r="AL69" s="806"/>
      <c r="AM69" s="806"/>
      <c r="AN69" s="806"/>
      <c r="AO69" s="806"/>
      <c r="AP69" s="806">
        <f>23+23+24</f>
        <v>70</v>
      </c>
      <c r="AQ69" s="806"/>
      <c r="AR69" s="806"/>
      <c r="AS69" s="806"/>
      <c r="AT69" s="806"/>
      <c r="AU69" s="414">
        <f>SUM(BA69:BJ69)</f>
        <v>32</v>
      </c>
      <c r="AV69" s="414"/>
      <c r="AW69" s="414"/>
      <c r="AX69" s="414"/>
      <c r="AY69" s="414"/>
      <c r="AZ69" s="414"/>
      <c r="BA69" s="806">
        <v>25</v>
      </c>
      <c r="BB69" s="806"/>
      <c r="BC69" s="806"/>
      <c r="BD69" s="806"/>
      <c r="BE69" s="806"/>
      <c r="BF69" s="806">
        <v>7</v>
      </c>
      <c r="BG69" s="806"/>
      <c r="BH69" s="806"/>
      <c r="BI69" s="806"/>
      <c r="BJ69" s="806"/>
    </row>
    <row r="70" spans="2:62" ht="13.5" customHeight="1">
      <c r="B70" s="321" t="s">
        <v>489</v>
      </c>
      <c r="C70" s="808" t="s">
        <v>488</v>
      </c>
      <c r="D70" s="808"/>
      <c r="E70" s="808"/>
      <c r="F70" s="808"/>
      <c r="G70" s="808"/>
      <c r="H70" s="808"/>
      <c r="I70" s="808"/>
      <c r="J70" s="808"/>
      <c r="K70" s="808"/>
      <c r="L70" s="808"/>
      <c r="M70" s="808"/>
      <c r="N70" s="320"/>
      <c r="O70" s="414">
        <f>SUM(U70:AD70)</f>
        <v>123</v>
      </c>
      <c r="P70" s="414"/>
      <c r="Q70" s="414"/>
      <c r="R70" s="414"/>
      <c r="S70" s="414"/>
      <c r="T70" s="414"/>
      <c r="U70" s="806">
        <v>52</v>
      </c>
      <c r="V70" s="806"/>
      <c r="W70" s="806"/>
      <c r="X70" s="806"/>
      <c r="Y70" s="806"/>
      <c r="Z70" s="806">
        <v>71</v>
      </c>
      <c r="AA70" s="806"/>
      <c r="AB70" s="806"/>
      <c r="AC70" s="806"/>
      <c r="AD70" s="806"/>
      <c r="AE70" s="414">
        <f>SUM(AK70:AT70)</f>
        <v>123</v>
      </c>
      <c r="AF70" s="414"/>
      <c r="AG70" s="414"/>
      <c r="AH70" s="414"/>
      <c r="AI70" s="414"/>
      <c r="AJ70" s="414"/>
      <c r="AK70" s="806">
        <f>12+20+20</f>
        <v>52</v>
      </c>
      <c r="AL70" s="806"/>
      <c r="AM70" s="806"/>
      <c r="AN70" s="806"/>
      <c r="AO70" s="806"/>
      <c r="AP70" s="806">
        <f>23+24+24</f>
        <v>71</v>
      </c>
      <c r="AQ70" s="806"/>
      <c r="AR70" s="806"/>
      <c r="AS70" s="806"/>
      <c r="AT70" s="806"/>
      <c r="AU70" s="414">
        <f>SUM(BA70:BJ70)</f>
        <v>33</v>
      </c>
      <c r="AV70" s="414"/>
      <c r="AW70" s="414"/>
      <c r="AX70" s="414"/>
      <c r="AY70" s="414"/>
      <c r="AZ70" s="414"/>
      <c r="BA70" s="806">
        <v>26</v>
      </c>
      <c r="BB70" s="806"/>
      <c r="BC70" s="806"/>
      <c r="BD70" s="806"/>
      <c r="BE70" s="806"/>
      <c r="BF70" s="806">
        <v>7</v>
      </c>
      <c r="BG70" s="806"/>
      <c r="BH70" s="806"/>
      <c r="BI70" s="806"/>
      <c r="BJ70" s="806"/>
    </row>
    <row r="71" spans="2:62" ht="14.25" customHeight="1">
      <c r="B71" s="321"/>
      <c r="C71" s="808" t="s">
        <v>487</v>
      </c>
      <c r="D71" s="808"/>
      <c r="E71" s="808"/>
      <c r="F71" s="808"/>
      <c r="G71" s="808"/>
      <c r="H71" s="808"/>
      <c r="I71" s="808"/>
      <c r="J71" s="808"/>
      <c r="K71" s="808"/>
      <c r="L71" s="808"/>
      <c r="M71" s="808"/>
      <c r="N71" s="320"/>
      <c r="O71" s="414">
        <f>SUM(U71:AD71)</f>
        <v>126</v>
      </c>
      <c r="P71" s="414"/>
      <c r="Q71" s="414"/>
      <c r="R71" s="414"/>
      <c r="S71" s="414"/>
      <c r="T71" s="414"/>
      <c r="U71" s="806">
        <v>54</v>
      </c>
      <c r="V71" s="806"/>
      <c r="W71" s="806"/>
      <c r="X71" s="806"/>
      <c r="Y71" s="806"/>
      <c r="Z71" s="806">
        <v>72</v>
      </c>
      <c r="AA71" s="806"/>
      <c r="AB71" s="806"/>
      <c r="AC71" s="806"/>
      <c r="AD71" s="806"/>
      <c r="AE71" s="414">
        <f>SUM(AK71:AT71)</f>
        <v>125</v>
      </c>
      <c r="AF71" s="414"/>
      <c r="AG71" s="414"/>
      <c r="AH71" s="414"/>
      <c r="AI71" s="414"/>
      <c r="AJ71" s="414"/>
      <c r="AK71" s="806">
        <f>13+20+21</f>
        <v>54</v>
      </c>
      <c r="AL71" s="806"/>
      <c r="AM71" s="806"/>
      <c r="AN71" s="806"/>
      <c r="AO71" s="806"/>
      <c r="AP71" s="806">
        <f>23+24+24</f>
        <v>71</v>
      </c>
      <c r="AQ71" s="806"/>
      <c r="AR71" s="806"/>
      <c r="AS71" s="806"/>
      <c r="AT71" s="806"/>
      <c r="AU71" s="414">
        <f>SUM(BA71:BJ71)</f>
        <v>31</v>
      </c>
      <c r="AV71" s="414"/>
      <c r="AW71" s="414"/>
      <c r="AX71" s="414"/>
      <c r="AY71" s="414"/>
      <c r="AZ71" s="414"/>
      <c r="BA71" s="806">
        <v>24</v>
      </c>
      <c r="BB71" s="806"/>
      <c r="BC71" s="806"/>
      <c r="BD71" s="806"/>
      <c r="BE71" s="806"/>
      <c r="BF71" s="806">
        <v>7</v>
      </c>
      <c r="BG71" s="806"/>
      <c r="BH71" s="806"/>
      <c r="BI71" s="806"/>
      <c r="BJ71" s="806"/>
    </row>
    <row r="72" spans="2:62" ht="8.1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81" spans="3:62">
      <c r="C81" s="798" t="s">
        <v>486</v>
      </c>
      <c r="D81" s="799"/>
      <c r="E81" s="799"/>
      <c r="F81" s="799"/>
      <c r="G81" s="799"/>
      <c r="H81" s="799"/>
      <c r="I81" s="799"/>
      <c r="J81" s="799"/>
      <c r="K81" s="799"/>
      <c r="L81" s="799"/>
      <c r="M81" s="799"/>
      <c r="N81" s="319"/>
      <c r="O81" s="796">
        <f>SUM(O13:T71)</f>
        <v>5480</v>
      </c>
      <c r="P81" s="796"/>
      <c r="Q81" s="796"/>
      <c r="R81" s="796"/>
      <c r="S81" s="796"/>
      <c r="T81" s="796"/>
      <c r="U81" s="797">
        <f>SUM(U13:Y71)</f>
        <v>2266</v>
      </c>
      <c r="V81" s="797"/>
      <c r="W81" s="797"/>
      <c r="X81" s="797"/>
      <c r="Y81" s="797"/>
      <c r="Z81" s="797">
        <f>SUM(Z13:AD71)</f>
        <v>3214</v>
      </c>
      <c r="AA81" s="797"/>
      <c r="AB81" s="797"/>
      <c r="AC81" s="797"/>
      <c r="AD81" s="797"/>
      <c r="AE81" s="796">
        <f>SUM(AE13:AJ71)</f>
        <v>5324</v>
      </c>
      <c r="AF81" s="796"/>
      <c r="AG81" s="796"/>
      <c r="AH81" s="796"/>
      <c r="AI81" s="796"/>
      <c r="AJ81" s="796"/>
      <c r="AK81" s="797">
        <f>SUM(AK13:AO71)</f>
        <v>2235</v>
      </c>
      <c r="AL81" s="797"/>
      <c r="AM81" s="797"/>
      <c r="AN81" s="797"/>
      <c r="AO81" s="797"/>
      <c r="AP81" s="797">
        <f>SUM(AP13:AT71)</f>
        <v>3089</v>
      </c>
      <c r="AQ81" s="797"/>
      <c r="AR81" s="797"/>
      <c r="AS81" s="797"/>
      <c r="AT81" s="797"/>
      <c r="AU81" s="796">
        <f>SUM(AU13:AZ71)</f>
        <v>1361</v>
      </c>
      <c r="AV81" s="796"/>
      <c r="AW81" s="796"/>
      <c r="AX81" s="796"/>
      <c r="AY81" s="796"/>
      <c r="AZ81" s="796"/>
      <c r="BA81" s="797">
        <f>SUM(BA13:BE71)</f>
        <v>1059</v>
      </c>
      <c r="BB81" s="797"/>
      <c r="BC81" s="797"/>
      <c r="BD81" s="797"/>
      <c r="BE81" s="797"/>
      <c r="BF81" s="797">
        <f>SUM(BF13:BJ71)</f>
        <v>302</v>
      </c>
      <c r="BG81" s="797"/>
      <c r="BH81" s="797"/>
      <c r="BI81" s="797"/>
      <c r="BJ81" s="802"/>
    </row>
    <row r="82" spans="3:62">
      <c r="C82" s="800" t="s">
        <v>485</v>
      </c>
      <c r="D82" s="801"/>
      <c r="E82" s="801"/>
      <c r="F82" s="801"/>
      <c r="G82" s="801"/>
      <c r="H82" s="801"/>
      <c r="I82" s="801"/>
      <c r="J82" s="801"/>
      <c r="K82" s="801"/>
      <c r="L82" s="801"/>
      <c r="M82" s="801"/>
      <c r="N82" s="318"/>
      <c r="O82" s="803">
        <f>SUM('202'!O9:T19)</f>
        <v>1087</v>
      </c>
      <c r="P82" s="803"/>
      <c r="Q82" s="803"/>
      <c r="R82" s="803"/>
      <c r="S82" s="803"/>
      <c r="T82" s="803"/>
      <c r="U82" s="804">
        <f>SUM('202'!U9:Y19)</f>
        <v>429</v>
      </c>
      <c r="V82" s="804"/>
      <c r="W82" s="804"/>
      <c r="X82" s="804"/>
      <c r="Y82" s="804"/>
      <c r="Z82" s="804">
        <f>SUM('202'!Z9:AD19)</f>
        <v>658</v>
      </c>
      <c r="AA82" s="804"/>
      <c r="AB82" s="804"/>
      <c r="AC82" s="804"/>
      <c r="AD82" s="804"/>
      <c r="AE82" s="803">
        <f>SUM('202'!AE9:AJ19)</f>
        <v>1062</v>
      </c>
      <c r="AF82" s="803"/>
      <c r="AG82" s="803"/>
      <c r="AH82" s="803"/>
      <c r="AI82" s="803"/>
      <c r="AJ82" s="803"/>
      <c r="AK82" s="804">
        <f>SUM('202'!AK9:AO19)</f>
        <v>427</v>
      </c>
      <c r="AL82" s="804"/>
      <c r="AM82" s="804"/>
      <c r="AN82" s="804"/>
      <c r="AO82" s="804"/>
      <c r="AP82" s="804">
        <f>SUM('202'!AP9:AT19)</f>
        <v>635</v>
      </c>
      <c r="AQ82" s="804"/>
      <c r="AR82" s="804"/>
      <c r="AS82" s="804"/>
      <c r="AT82" s="804"/>
      <c r="AU82" s="803">
        <f>SUM('202'!AU9:AZ19)</f>
        <v>264</v>
      </c>
      <c r="AV82" s="803"/>
      <c r="AW82" s="803"/>
      <c r="AX82" s="803"/>
      <c r="AY82" s="803"/>
      <c r="AZ82" s="803"/>
      <c r="BA82" s="804">
        <f>SUM('202'!BA9:BE19)</f>
        <v>208</v>
      </c>
      <c r="BB82" s="804"/>
      <c r="BC82" s="804"/>
      <c r="BD82" s="804"/>
      <c r="BE82" s="804"/>
      <c r="BF82" s="804">
        <f>SUM('202'!BF9:BJ19)</f>
        <v>56</v>
      </c>
      <c r="BG82" s="804"/>
      <c r="BH82" s="804"/>
      <c r="BI82" s="804"/>
      <c r="BJ82" s="805"/>
    </row>
  </sheetData>
  <mergeCells count="546">
    <mergeCell ref="AK71:AO71"/>
    <mergeCell ref="AP71:AT71"/>
    <mergeCell ref="AU71:AZ71"/>
    <mergeCell ref="BA71:BE71"/>
    <mergeCell ref="BF71:BJ71"/>
    <mergeCell ref="AK70:AO70"/>
    <mergeCell ref="AP70:AT70"/>
    <mergeCell ref="AU70:AZ70"/>
    <mergeCell ref="BA70:BE70"/>
    <mergeCell ref="BF70:BJ70"/>
    <mergeCell ref="C70:M70"/>
    <mergeCell ref="O70:T70"/>
    <mergeCell ref="U70:Y70"/>
    <mergeCell ref="Z70:AD70"/>
    <mergeCell ref="AE70:AJ70"/>
    <mergeCell ref="C71:M71"/>
    <mergeCell ref="O71:T71"/>
    <mergeCell ref="U71:Y71"/>
    <mergeCell ref="Z71:AD71"/>
    <mergeCell ref="AE71:AJ71"/>
    <mergeCell ref="AK69:AO69"/>
    <mergeCell ref="C68:M68"/>
    <mergeCell ref="O68:T68"/>
    <mergeCell ref="U68:Y68"/>
    <mergeCell ref="Z68:AD68"/>
    <mergeCell ref="AE68:AJ68"/>
    <mergeCell ref="AK68:AO68"/>
    <mergeCell ref="BF68:BJ68"/>
    <mergeCell ref="C69:M69"/>
    <mergeCell ref="O69:T69"/>
    <mergeCell ref="U69:Y69"/>
    <mergeCell ref="Z69:AD69"/>
    <mergeCell ref="AE69:AJ69"/>
    <mergeCell ref="AP69:AT69"/>
    <mergeCell ref="AU69:AZ69"/>
    <mergeCell ref="BA69:BE69"/>
    <mergeCell ref="BF69:BJ69"/>
    <mergeCell ref="AP68:AT68"/>
    <mergeCell ref="AU68:AZ68"/>
    <mergeCell ref="BA68:BE68"/>
    <mergeCell ref="BF65:BJ65"/>
    <mergeCell ref="C67:M67"/>
    <mergeCell ref="O67:T67"/>
    <mergeCell ref="U67:Y67"/>
    <mergeCell ref="Z67:AD67"/>
    <mergeCell ref="AE67:AJ67"/>
    <mergeCell ref="AK67:AO67"/>
    <mergeCell ref="AP67:AT67"/>
    <mergeCell ref="AU67:AZ67"/>
    <mergeCell ref="BA67:BE67"/>
    <mergeCell ref="BF67:BJ67"/>
    <mergeCell ref="C65:M65"/>
    <mergeCell ref="O65:T65"/>
    <mergeCell ref="U65:Y65"/>
    <mergeCell ref="Z65:AD65"/>
    <mergeCell ref="AE65:AJ65"/>
    <mergeCell ref="AK65:AO65"/>
    <mergeCell ref="AP65:AT65"/>
    <mergeCell ref="AU65:AZ65"/>
    <mergeCell ref="BA65:BE65"/>
    <mergeCell ref="BF63:BJ63"/>
    <mergeCell ref="C64:M64"/>
    <mergeCell ref="O64:T64"/>
    <mergeCell ref="U64:Y64"/>
    <mergeCell ref="Z64:AD64"/>
    <mergeCell ref="AE64:AJ64"/>
    <mergeCell ref="AK64:AO64"/>
    <mergeCell ref="AP64:AT64"/>
    <mergeCell ref="AU64:AZ64"/>
    <mergeCell ref="BA64:BE64"/>
    <mergeCell ref="BF64:BJ64"/>
    <mergeCell ref="C63:M63"/>
    <mergeCell ref="O63:T63"/>
    <mergeCell ref="U63:Y63"/>
    <mergeCell ref="Z63:AD63"/>
    <mergeCell ref="AE63:AJ63"/>
    <mergeCell ref="AK63:AO63"/>
    <mergeCell ref="AP63:AT63"/>
    <mergeCell ref="AU63:AZ63"/>
    <mergeCell ref="BA63:BE63"/>
    <mergeCell ref="BF61:BJ61"/>
    <mergeCell ref="C62:M62"/>
    <mergeCell ref="O62:T62"/>
    <mergeCell ref="U62:Y62"/>
    <mergeCell ref="Z62:AD62"/>
    <mergeCell ref="AE62:AJ62"/>
    <mergeCell ref="AK62:AO62"/>
    <mergeCell ref="AP62:AT62"/>
    <mergeCell ref="AU62:AZ62"/>
    <mergeCell ref="BA62:BE62"/>
    <mergeCell ref="BF62:BJ62"/>
    <mergeCell ref="C61:M61"/>
    <mergeCell ref="O61:T61"/>
    <mergeCell ref="U61:Y61"/>
    <mergeCell ref="Z61:AD61"/>
    <mergeCell ref="AE61:AJ61"/>
    <mergeCell ref="AK61:AO61"/>
    <mergeCell ref="AP61:AT61"/>
    <mergeCell ref="AU61:AZ61"/>
    <mergeCell ref="BA61:BE61"/>
    <mergeCell ref="BF58:BJ58"/>
    <mergeCell ref="C59:M59"/>
    <mergeCell ref="O59:T59"/>
    <mergeCell ref="U59:Y59"/>
    <mergeCell ref="Z59:AD59"/>
    <mergeCell ref="AE59:AJ59"/>
    <mergeCell ref="AK59:AO59"/>
    <mergeCell ref="AP59:AT59"/>
    <mergeCell ref="AU59:AZ59"/>
    <mergeCell ref="BA59:BE59"/>
    <mergeCell ref="BF59:BJ59"/>
    <mergeCell ref="C58:M58"/>
    <mergeCell ref="O58:T58"/>
    <mergeCell ref="U58:Y58"/>
    <mergeCell ref="Z58:AD58"/>
    <mergeCell ref="AE58:AJ58"/>
    <mergeCell ref="AK58:AO58"/>
    <mergeCell ref="AP58:AT58"/>
    <mergeCell ref="AU58:AZ58"/>
    <mergeCell ref="BA58:BE58"/>
    <mergeCell ref="BF56:BJ56"/>
    <mergeCell ref="C57:M57"/>
    <mergeCell ref="O57:T57"/>
    <mergeCell ref="U57:Y57"/>
    <mergeCell ref="Z57:AD57"/>
    <mergeCell ref="AE57:AJ57"/>
    <mergeCell ref="AK57:AO57"/>
    <mergeCell ref="AP57:AT57"/>
    <mergeCell ref="AU57:AZ57"/>
    <mergeCell ref="BA57:BE57"/>
    <mergeCell ref="BF57:BJ57"/>
    <mergeCell ref="C56:M56"/>
    <mergeCell ref="O56:T56"/>
    <mergeCell ref="U56:Y56"/>
    <mergeCell ref="Z56:AD56"/>
    <mergeCell ref="AE56:AJ56"/>
    <mergeCell ref="AK56:AO56"/>
    <mergeCell ref="AP56:AT56"/>
    <mergeCell ref="AU56:AZ56"/>
    <mergeCell ref="BA56:BE56"/>
    <mergeCell ref="BF53:BJ53"/>
    <mergeCell ref="C55:M55"/>
    <mergeCell ref="O55:T55"/>
    <mergeCell ref="U55:Y55"/>
    <mergeCell ref="Z55:AD55"/>
    <mergeCell ref="AE55:AJ55"/>
    <mergeCell ref="AK55:AO55"/>
    <mergeCell ref="AP55:AT55"/>
    <mergeCell ref="AU55:AZ55"/>
    <mergeCell ref="BA55:BE55"/>
    <mergeCell ref="BF55:BJ55"/>
    <mergeCell ref="C53:M53"/>
    <mergeCell ref="O53:T53"/>
    <mergeCell ref="U53:Y53"/>
    <mergeCell ref="Z53:AD53"/>
    <mergeCell ref="AE53:AJ53"/>
    <mergeCell ref="AK53:AO53"/>
    <mergeCell ref="AP53:AT53"/>
    <mergeCell ref="AU53:AZ53"/>
    <mergeCell ref="BA53:BE53"/>
    <mergeCell ref="BF51:BJ51"/>
    <mergeCell ref="C52:M52"/>
    <mergeCell ref="O52:T52"/>
    <mergeCell ref="U52:Y52"/>
    <mergeCell ref="Z52:AD52"/>
    <mergeCell ref="AE52:AJ52"/>
    <mergeCell ref="AK52:AO52"/>
    <mergeCell ref="AP52:AT52"/>
    <mergeCell ref="AU52:AZ52"/>
    <mergeCell ref="BA52:BE52"/>
    <mergeCell ref="BF52:BJ52"/>
    <mergeCell ref="C51:M51"/>
    <mergeCell ref="O51:T51"/>
    <mergeCell ref="U51:Y51"/>
    <mergeCell ref="Z51:AD51"/>
    <mergeCell ref="AE51:AJ51"/>
    <mergeCell ref="AK51:AO51"/>
    <mergeCell ref="AP51:AT51"/>
    <mergeCell ref="AU51:AZ51"/>
    <mergeCell ref="BA51:BE51"/>
    <mergeCell ref="BF49:BJ49"/>
    <mergeCell ref="C50:M50"/>
    <mergeCell ref="O50:T50"/>
    <mergeCell ref="U50:Y50"/>
    <mergeCell ref="Z50:AD50"/>
    <mergeCell ref="AE50:AJ50"/>
    <mergeCell ref="AK50:AO50"/>
    <mergeCell ref="AP50:AT50"/>
    <mergeCell ref="AU50:AZ50"/>
    <mergeCell ref="BA50:BE50"/>
    <mergeCell ref="BF50:BJ50"/>
    <mergeCell ref="C49:M49"/>
    <mergeCell ref="O49:T49"/>
    <mergeCell ref="U49:Y49"/>
    <mergeCell ref="Z49:AD49"/>
    <mergeCell ref="AE49:AJ49"/>
    <mergeCell ref="AK49:AO49"/>
    <mergeCell ref="AP49:AT49"/>
    <mergeCell ref="AU49:AZ49"/>
    <mergeCell ref="BA49:BE49"/>
    <mergeCell ref="BF46:BJ46"/>
    <mergeCell ref="C47:M47"/>
    <mergeCell ref="O47:T47"/>
    <mergeCell ref="U47:Y47"/>
    <mergeCell ref="Z47:AD47"/>
    <mergeCell ref="AE47:AJ47"/>
    <mergeCell ref="AK47:AO47"/>
    <mergeCell ref="AP47:AT47"/>
    <mergeCell ref="AU47:AZ47"/>
    <mergeCell ref="BA47:BE47"/>
    <mergeCell ref="BF47:BJ47"/>
    <mergeCell ref="C46:M46"/>
    <mergeCell ref="O46:T46"/>
    <mergeCell ref="U46:Y46"/>
    <mergeCell ref="Z46:AD46"/>
    <mergeCell ref="AE46:AJ46"/>
    <mergeCell ref="AK46:AO46"/>
    <mergeCell ref="AP46:AT46"/>
    <mergeCell ref="AU46:AZ46"/>
    <mergeCell ref="BA46:BE46"/>
    <mergeCell ref="BF44:BJ44"/>
    <mergeCell ref="C45:M45"/>
    <mergeCell ref="O45:T45"/>
    <mergeCell ref="U45:Y45"/>
    <mergeCell ref="Z45:AD45"/>
    <mergeCell ref="AE45:AJ45"/>
    <mergeCell ref="AK45:AO45"/>
    <mergeCell ref="AP45:AT45"/>
    <mergeCell ref="AU45:AZ45"/>
    <mergeCell ref="BA45:BE45"/>
    <mergeCell ref="BF45:BJ45"/>
    <mergeCell ref="C44:M44"/>
    <mergeCell ref="O44:T44"/>
    <mergeCell ref="U44:Y44"/>
    <mergeCell ref="Z44:AD44"/>
    <mergeCell ref="AE44:AJ44"/>
    <mergeCell ref="AK44:AO44"/>
    <mergeCell ref="AP44:AT44"/>
    <mergeCell ref="AU44:AZ44"/>
    <mergeCell ref="BA44:BE44"/>
    <mergeCell ref="BF41:BJ41"/>
    <mergeCell ref="C43:M43"/>
    <mergeCell ref="O43:T43"/>
    <mergeCell ref="U43:Y43"/>
    <mergeCell ref="Z43:AD43"/>
    <mergeCell ref="AE43:AJ43"/>
    <mergeCell ref="AK43:AO43"/>
    <mergeCell ref="AP43:AT43"/>
    <mergeCell ref="AU43:AZ43"/>
    <mergeCell ref="BA43:BE43"/>
    <mergeCell ref="BF43:BJ43"/>
    <mergeCell ref="C41:M41"/>
    <mergeCell ref="O41:T41"/>
    <mergeCell ref="U41:Y41"/>
    <mergeCell ref="Z41:AD41"/>
    <mergeCell ref="AE41:AJ41"/>
    <mergeCell ref="AK41:AO41"/>
    <mergeCell ref="AP41:AT41"/>
    <mergeCell ref="AU41:AZ41"/>
    <mergeCell ref="BA41:BE41"/>
    <mergeCell ref="BF39:BJ39"/>
    <mergeCell ref="C40:M40"/>
    <mergeCell ref="O40:T40"/>
    <mergeCell ref="U40:Y40"/>
    <mergeCell ref="Z40:AD40"/>
    <mergeCell ref="AE40:AJ40"/>
    <mergeCell ref="AK40:AO40"/>
    <mergeCell ref="AP40:AT40"/>
    <mergeCell ref="AU40:AZ40"/>
    <mergeCell ref="BA40:BE40"/>
    <mergeCell ref="BF40:BJ40"/>
    <mergeCell ref="C39:M39"/>
    <mergeCell ref="O39:T39"/>
    <mergeCell ref="U39:Y39"/>
    <mergeCell ref="Z39:AD39"/>
    <mergeCell ref="AE39:AJ39"/>
    <mergeCell ref="AK39:AO39"/>
    <mergeCell ref="AP39:AT39"/>
    <mergeCell ref="AU39:AZ39"/>
    <mergeCell ref="BA39:BE39"/>
    <mergeCell ref="BF37:BJ37"/>
    <mergeCell ref="C38:M38"/>
    <mergeCell ref="O38:T38"/>
    <mergeCell ref="U38:Y38"/>
    <mergeCell ref="Z38:AD38"/>
    <mergeCell ref="AE38:AJ38"/>
    <mergeCell ref="AK38:AO38"/>
    <mergeCell ref="AP38:AT38"/>
    <mergeCell ref="AU38:AZ38"/>
    <mergeCell ref="BA38:BE38"/>
    <mergeCell ref="BF38:BJ38"/>
    <mergeCell ref="C37:M37"/>
    <mergeCell ref="O37:T37"/>
    <mergeCell ref="U37:Y37"/>
    <mergeCell ref="Z37:AD37"/>
    <mergeCell ref="AE37:AJ37"/>
    <mergeCell ref="AK37:AO37"/>
    <mergeCell ref="AP37:AT37"/>
    <mergeCell ref="AU37:AZ37"/>
    <mergeCell ref="BA37:BE37"/>
    <mergeCell ref="BF34:BJ34"/>
    <mergeCell ref="C35:M35"/>
    <mergeCell ref="O35:T35"/>
    <mergeCell ref="U35:Y35"/>
    <mergeCell ref="Z35:AD35"/>
    <mergeCell ref="AE35:AJ35"/>
    <mergeCell ref="AK35:AO35"/>
    <mergeCell ref="AP35:AT35"/>
    <mergeCell ref="AU35:AZ35"/>
    <mergeCell ref="BA35:BE35"/>
    <mergeCell ref="BF35:BJ35"/>
    <mergeCell ref="C34:M34"/>
    <mergeCell ref="O34:T34"/>
    <mergeCell ref="U34:Y34"/>
    <mergeCell ref="Z34:AD34"/>
    <mergeCell ref="AE34:AJ34"/>
    <mergeCell ref="AK34:AO34"/>
    <mergeCell ref="AP34:AT34"/>
    <mergeCell ref="AU34:AZ34"/>
    <mergeCell ref="BA34:BE34"/>
    <mergeCell ref="BF32:BJ32"/>
    <mergeCell ref="C33:M33"/>
    <mergeCell ref="O33:T33"/>
    <mergeCell ref="U33:Y33"/>
    <mergeCell ref="Z33:AD33"/>
    <mergeCell ref="AE33:AJ33"/>
    <mergeCell ref="AK33:AO33"/>
    <mergeCell ref="AP33:AT33"/>
    <mergeCell ref="AU33:AZ33"/>
    <mergeCell ref="BA33:BE33"/>
    <mergeCell ref="BF33:BJ33"/>
    <mergeCell ref="C32:M32"/>
    <mergeCell ref="O32:T32"/>
    <mergeCell ref="U32:Y32"/>
    <mergeCell ref="Z32:AD32"/>
    <mergeCell ref="AE32:AJ32"/>
    <mergeCell ref="AK32:AO32"/>
    <mergeCell ref="AP32:AT32"/>
    <mergeCell ref="AU32:AZ32"/>
    <mergeCell ref="BA32:BE32"/>
    <mergeCell ref="BF29:BJ29"/>
    <mergeCell ref="C31:M31"/>
    <mergeCell ref="O31:T31"/>
    <mergeCell ref="U31:Y31"/>
    <mergeCell ref="Z31:AD31"/>
    <mergeCell ref="AE31:AJ31"/>
    <mergeCell ref="AK31:AO31"/>
    <mergeCell ref="AP31:AT31"/>
    <mergeCell ref="AU31:AZ31"/>
    <mergeCell ref="BA31:BE31"/>
    <mergeCell ref="BF31:BJ31"/>
    <mergeCell ref="C29:M29"/>
    <mergeCell ref="O29:T29"/>
    <mergeCell ref="U29:Y29"/>
    <mergeCell ref="Z29:AD29"/>
    <mergeCell ref="AE29:AJ29"/>
    <mergeCell ref="AK29:AO29"/>
    <mergeCell ref="AU29:AZ29"/>
    <mergeCell ref="BA29:BE29"/>
    <mergeCell ref="BF27:BJ27"/>
    <mergeCell ref="C28:M28"/>
    <mergeCell ref="O28:T28"/>
    <mergeCell ref="U28:Y28"/>
    <mergeCell ref="Z28:AD28"/>
    <mergeCell ref="AE28:AJ28"/>
    <mergeCell ref="AK28:AO28"/>
    <mergeCell ref="AU28:AZ28"/>
    <mergeCell ref="BA28:BE28"/>
    <mergeCell ref="BF28:BJ28"/>
    <mergeCell ref="C27:M27"/>
    <mergeCell ref="O27:T27"/>
    <mergeCell ref="U27:Y27"/>
    <mergeCell ref="Z27:AD27"/>
    <mergeCell ref="AE27:AJ27"/>
    <mergeCell ref="AK27:AO27"/>
    <mergeCell ref="AU27:AZ27"/>
    <mergeCell ref="BA27:BE27"/>
    <mergeCell ref="BF25:BJ25"/>
    <mergeCell ref="C26:M26"/>
    <mergeCell ref="O26:T26"/>
    <mergeCell ref="U26:Y26"/>
    <mergeCell ref="Z26:AD26"/>
    <mergeCell ref="AE26:AJ26"/>
    <mergeCell ref="AK26:AO26"/>
    <mergeCell ref="AU26:AZ26"/>
    <mergeCell ref="BA26:BE26"/>
    <mergeCell ref="BF26:BJ26"/>
    <mergeCell ref="C25:M25"/>
    <mergeCell ref="O25:T25"/>
    <mergeCell ref="U25:Y25"/>
    <mergeCell ref="Z25:AD25"/>
    <mergeCell ref="AE25:AJ25"/>
    <mergeCell ref="AK25:AO25"/>
    <mergeCell ref="AU25:AZ25"/>
    <mergeCell ref="BA25:BE25"/>
    <mergeCell ref="BF22:BJ22"/>
    <mergeCell ref="C23:M23"/>
    <mergeCell ref="O23:T23"/>
    <mergeCell ref="U23:Y23"/>
    <mergeCell ref="Z23:AD23"/>
    <mergeCell ref="AE23:AJ23"/>
    <mergeCell ref="AK23:AO23"/>
    <mergeCell ref="AU23:AZ23"/>
    <mergeCell ref="BA23:BE23"/>
    <mergeCell ref="BF23:BJ23"/>
    <mergeCell ref="C22:M22"/>
    <mergeCell ref="O22:T22"/>
    <mergeCell ref="U22:Y22"/>
    <mergeCell ref="Z22:AD22"/>
    <mergeCell ref="AE22:AJ22"/>
    <mergeCell ref="AK22:AO22"/>
    <mergeCell ref="AU22:AZ22"/>
    <mergeCell ref="BA22:BE22"/>
    <mergeCell ref="BF20:BJ20"/>
    <mergeCell ref="C21:M21"/>
    <mergeCell ref="O21:T21"/>
    <mergeCell ref="U21:Y21"/>
    <mergeCell ref="Z21:AD21"/>
    <mergeCell ref="AE21:AJ21"/>
    <mergeCell ref="AK21:AO21"/>
    <mergeCell ref="AU21:AZ21"/>
    <mergeCell ref="BA21:BE21"/>
    <mergeCell ref="BF21:BJ21"/>
    <mergeCell ref="C20:M20"/>
    <mergeCell ref="O20:T20"/>
    <mergeCell ref="U20:Y20"/>
    <mergeCell ref="Z20:AD20"/>
    <mergeCell ref="AE20:AJ20"/>
    <mergeCell ref="AK20:AO20"/>
    <mergeCell ref="AU20:AZ20"/>
    <mergeCell ref="BA20:BE20"/>
    <mergeCell ref="BF17:BJ17"/>
    <mergeCell ref="C19:M19"/>
    <mergeCell ref="O19:T19"/>
    <mergeCell ref="U19:Y19"/>
    <mergeCell ref="Z19:AD19"/>
    <mergeCell ref="AE19:AJ19"/>
    <mergeCell ref="AK19:AO19"/>
    <mergeCell ref="AU19:AZ19"/>
    <mergeCell ref="BA19:BE19"/>
    <mergeCell ref="BF19:BJ19"/>
    <mergeCell ref="C17:M17"/>
    <mergeCell ref="O17:T17"/>
    <mergeCell ref="U17:Y17"/>
    <mergeCell ref="Z17:AD17"/>
    <mergeCell ref="AE17:AJ17"/>
    <mergeCell ref="AK17:AO17"/>
    <mergeCell ref="AU17:AZ17"/>
    <mergeCell ref="BA17:BE17"/>
    <mergeCell ref="BF15:BJ15"/>
    <mergeCell ref="C16:M16"/>
    <mergeCell ref="O16:T16"/>
    <mergeCell ref="U16:Y16"/>
    <mergeCell ref="Z16:AD16"/>
    <mergeCell ref="AE16:AJ16"/>
    <mergeCell ref="AK16:AO16"/>
    <mergeCell ref="AU8:BJ8"/>
    <mergeCell ref="O11:T11"/>
    <mergeCell ref="U11:Y11"/>
    <mergeCell ref="Z11:AD11"/>
    <mergeCell ref="AK14:AO14"/>
    <mergeCell ref="AP14:AT14"/>
    <mergeCell ref="AU14:AZ14"/>
    <mergeCell ref="BA14:BE14"/>
    <mergeCell ref="BF14:BJ14"/>
    <mergeCell ref="O13:T13"/>
    <mergeCell ref="U13:Y13"/>
    <mergeCell ref="Z13:AD13"/>
    <mergeCell ref="BA13:BE13"/>
    <mergeCell ref="BF13:BJ13"/>
    <mergeCell ref="O14:T14"/>
    <mergeCell ref="U14:Y14"/>
    <mergeCell ref="Z14:AD14"/>
    <mergeCell ref="AE14:AJ14"/>
    <mergeCell ref="AS1:BK2"/>
    <mergeCell ref="BA82:BE82"/>
    <mergeCell ref="BF82:BJ82"/>
    <mergeCell ref="AP82:AT82"/>
    <mergeCell ref="AU82:AZ82"/>
    <mergeCell ref="B5:BJ5"/>
    <mergeCell ref="B6:BJ6"/>
    <mergeCell ref="O9:T9"/>
    <mergeCell ref="U9:Y9"/>
    <mergeCell ref="Z9:AD9"/>
    <mergeCell ref="AE9:AJ9"/>
    <mergeCell ref="AK9:AO9"/>
    <mergeCell ref="AP9:AT9"/>
    <mergeCell ref="AE11:AJ11"/>
    <mergeCell ref="AK11:AO11"/>
    <mergeCell ref="AP11:AT11"/>
    <mergeCell ref="AU11:AZ11"/>
    <mergeCell ref="BA11:BE11"/>
    <mergeCell ref="BF11:BJ11"/>
    <mergeCell ref="AE13:AJ13"/>
    <mergeCell ref="AK13:AO13"/>
    <mergeCell ref="AP13:AT13"/>
    <mergeCell ref="AU13:AZ13"/>
    <mergeCell ref="O8:AD8"/>
    <mergeCell ref="AU81:AZ81"/>
    <mergeCell ref="BA81:BE81"/>
    <mergeCell ref="BF81:BJ81"/>
    <mergeCell ref="O82:T82"/>
    <mergeCell ref="U82:Y82"/>
    <mergeCell ref="Z82:AD82"/>
    <mergeCell ref="AE82:AJ82"/>
    <mergeCell ref="AK82:AO82"/>
    <mergeCell ref="AU9:AZ9"/>
    <mergeCell ref="BA9:BE9"/>
    <mergeCell ref="BF9:BJ9"/>
    <mergeCell ref="AP15:AT15"/>
    <mergeCell ref="AU15:AZ15"/>
    <mergeCell ref="BA15:BE15"/>
    <mergeCell ref="AP16:AT16"/>
    <mergeCell ref="AU16:AZ16"/>
    <mergeCell ref="BA16:BE16"/>
    <mergeCell ref="BF16:BJ16"/>
    <mergeCell ref="O15:T15"/>
    <mergeCell ref="U15:Y15"/>
    <mergeCell ref="Z15:AD15"/>
    <mergeCell ref="AE15:AJ15"/>
    <mergeCell ref="AK15:AO15"/>
    <mergeCell ref="AP17:AT17"/>
    <mergeCell ref="B8:N9"/>
    <mergeCell ref="O81:T81"/>
    <mergeCell ref="U81:Y81"/>
    <mergeCell ref="Z81:AD81"/>
    <mergeCell ref="AE81:AJ81"/>
    <mergeCell ref="AK81:AO81"/>
    <mergeCell ref="AP81:AT81"/>
    <mergeCell ref="C81:M81"/>
    <mergeCell ref="C82:M82"/>
    <mergeCell ref="AE8:AT8"/>
    <mergeCell ref="C11:M11"/>
    <mergeCell ref="C13:M13"/>
    <mergeCell ref="C14:M14"/>
    <mergeCell ref="C15:M15"/>
    <mergeCell ref="AP19:AT19"/>
    <mergeCell ref="AP20:AT20"/>
    <mergeCell ref="AP21:AT21"/>
    <mergeCell ref="AP22:AT22"/>
    <mergeCell ref="AP23:AT23"/>
    <mergeCell ref="AP25:AT25"/>
    <mergeCell ref="AP26:AT26"/>
    <mergeCell ref="AP27:AT27"/>
    <mergeCell ref="AP28:AT28"/>
    <mergeCell ref="AP29:AT29"/>
  </mergeCells>
  <phoneticPr fontId="2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50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19" ht="15.95" customHeight="1">
      <c r="A1" s="376">
        <f>'183'!AR1+1</f>
        <v>184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</row>
    <row r="2" spans="1:19" ht="15.95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19" ht="15.95" customHeight="1"/>
    <row r="4" spans="1:19" ht="15.95" customHeight="1"/>
    <row r="5" spans="1:19" ht="15.95" customHeight="1"/>
    <row r="6" spans="1:19" ht="15.95" customHeight="1"/>
    <row r="7" spans="1:19" ht="15.95" customHeight="1"/>
    <row r="8" spans="1:19" ht="15.95" customHeight="1"/>
    <row r="9" spans="1:19" ht="15.95" customHeight="1"/>
    <row r="10" spans="1:19" ht="15.95" customHeight="1"/>
    <row r="11" spans="1:19" ht="15.95" customHeight="1"/>
    <row r="12" spans="1:19" ht="15.95" customHeight="1"/>
    <row r="13" spans="1:19" ht="15.95" customHeight="1"/>
    <row r="14" spans="1:19" ht="15.95" customHeight="1"/>
    <row r="15" spans="1:19" ht="15.95" customHeight="1"/>
    <row r="16" spans="1:19" ht="15.95" customHeight="1"/>
    <row r="17" spans="19:46" ht="15.95" customHeight="1"/>
    <row r="18" spans="19:46" ht="15.95" customHeight="1"/>
    <row r="19" spans="19:46" ht="15.95" customHeight="1"/>
    <row r="20" spans="19:46" ht="15.95" customHeight="1"/>
    <row r="21" spans="19:46" ht="15.95" customHeight="1"/>
    <row r="22" spans="19:46" ht="15.95" customHeight="1"/>
    <row r="23" spans="19:46" ht="15.95" customHeight="1"/>
    <row r="24" spans="19:46">
      <c r="S24" s="375" t="s">
        <v>124</v>
      </c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5"/>
      <c r="AQ24" s="375"/>
      <c r="AR24" s="375"/>
      <c r="AS24" s="375"/>
      <c r="AT24" s="375"/>
    </row>
    <row r="25" spans="19:46"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5"/>
      <c r="AP25" s="375"/>
      <c r="AQ25" s="375"/>
      <c r="AR25" s="375"/>
      <c r="AS25" s="375"/>
      <c r="AT25" s="375"/>
    </row>
    <row r="26" spans="19:46" ht="15.95" customHeight="1"/>
    <row r="27" spans="19:46" ht="15.95" customHeight="1"/>
    <row r="28" spans="19:46" ht="15.95" customHeight="1"/>
    <row r="29" spans="19:46" ht="15.95" customHeight="1"/>
    <row r="30" spans="19:46" ht="15.95" customHeight="1"/>
    <row r="31" spans="19:46" ht="15.95" customHeight="1"/>
    <row r="32" spans="19:46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</sheetData>
  <mergeCells count="2">
    <mergeCell ref="S24:AT25"/>
    <mergeCell ref="A1:S2"/>
  </mergeCells>
  <phoneticPr fontId="10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3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style="171" customWidth="1"/>
    <col min="64" max="16384" width="9" style="171"/>
  </cols>
  <sheetData>
    <row r="1" spans="1:62" ht="11.1" customHeight="1">
      <c r="A1" s="376">
        <f>'201'!AS1+1</f>
        <v>202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</row>
    <row r="2" spans="1:62" ht="11.1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62" ht="11.1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</row>
    <row r="4" spans="1:62" ht="11.1" customHeight="1">
      <c r="B4" s="380" t="s">
        <v>604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  <c r="BF4" s="380"/>
      <c r="BG4" s="380"/>
      <c r="BH4" s="380"/>
      <c r="BI4" s="380"/>
      <c r="BJ4" s="380"/>
    </row>
    <row r="5" spans="1:62" ht="11.1" customHeight="1">
      <c r="B5" s="326"/>
      <c r="BJ5" s="20" t="s">
        <v>543</v>
      </c>
    </row>
    <row r="6" spans="1:62" ht="13.5" customHeight="1">
      <c r="B6" s="411" t="s">
        <v>542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 t="s">
        <v>423</v>
      </c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 t="s">
        <v>541</v>
      </c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 t="s">
        <v>466</v>
      </c>
      <c r="AV6" s="386"/>
      <c r="AW6" s="386"/>
      <c r="AX6" s="386"/>
      <c r="AY6" s="386"/>
      <c r="AZ6" s="386"/>
      <c r="BA6" s="386"/>
      <c r="BB6" s="386"/>
      <c r="BC6" s="386"/>
      <c r="BD6" s="386"/>
      <c r="BE6" s="386"/>
      <c r="BF6" s="386"/>
      <c r="BG6" s="386"/>
      <c r="BH6" s="386"/>
      <c r="BI6" s="386"/>
      <c r="BJ6" s="387"/>
    </row>
    <row r="7" spans="1:62" ht="13.5" customHeight="1">
      <c r="B7" s="412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470" t="s">
        <v>238</v>
      </c>
      <c r="P7" s="470"/>
      <c r="Q7" s="470"/>
      <c r="R7" s="470"/>
      <c r="S7" s="470"/>
      <c r="T7" s="470"/>
      <c r="U7" s="385" t="s">
        <v>540</v>
      </c>
      <c r="V7" s="385"/>
      <c r="W7" s="385"/>
      <c r="X7" s="385"/>
      <c r="Y7" s="385"/>
      <c r="Z7" s="385" t="s">
        <v>539</v>
      </c>
      <c r="AA7" s="385"/>
      <c r="AB7" s="385"/>
      <c r="AC7" s="385"/>
      <c r="AD7" s="385"/>
      <c r="AE7" s="470" t="s">
        <v>238</v>
      </c>
      <c r="AF7" s="470"/>
      <c r="AG7" s="470"/>
      <c r="AH7" s="470"/>
      <c r="AI7" s="470"/>
      <c r="AJ7" s="470"/>
      <c r="AK7" s="385" t="s">
        <v>540</v>
      </c>
      <c r="AL7" s="385"/>
      <c r="AM7" s="385"/>
      <c r="AN7" s="385"/>
      <c r="AO7" s="385"/>
      <c r="AP7" s="385" t="s">
        <v>539</v>
      </c>
      <c r="AQ7" s="385"/>
      <c r="AR7" s="385"/>
      <c r="AS7" s="385"/>
      <c r="AT7" s="385"/>
      <c r="AU7" s="470" t="s">
        <v>238</v>
      </c>
      <c r="AV7" s="470"/>
      <c r="AW7" s="470"/>
      <c r="AX7" s="470"/>
      <c r="AY7" s="470"/>
      <c r="AZ7" s="470"/>
      <c r="BA7" s="385" t="s">
        <v>538</v>
      </c>
      <c r="BB7" s="385"/>
      <c r="BC7" s="385"/>
      <c r="BD7" s="385"/>
      <c r="BE7" s="385"/>
      <c r="BF7" s="385" t="s">
        <v>196</v>
      </c>
      <c r="BG7" s="385"/>
      <c r="BH7" s="385"/>
      <c r="BI7" s="385"/>
      <c r="BJ7" s="388"/>
    </row>
    <row r="8" spans="1:62" ht="6" customHeight="1">
      <c r="N8" s="335"/>
    </row>
    <row r="9" spans="1:62" ht="12" customHeight="1">
      <c r="B9" s="321"/>
      <c r="C9" s="808" t="s">
        <v>603</v>
      </c>
      <c r="D9" s="808"/>
      <c r="E9" s="808"/>
      <c r="F9" s="808"/>
      <c r="G9" s="808"/>
      <c r="H9" s="808"/>
      <c r="I9" s="808"/>
      <c r="J9" s="808"/>
      <c r="K9" s="808"/>
      <c r="L9" s="808"/>
      <c r="M9" s="808"/>
      <c r="N9" s="320"/>
      <c r="O9" s="414">
        <f>SUM(U9:AD9)</f>
        <v>124</v>
      </c>
      <c r="P9" s="414"/>
      <c r="Q9" s="414"/>
      <c r="R9" s="414"/>
      <c r="S9" s="414"/>
      <c r="T9" s="414"/>
      <c r="U9" s="806">
        <f>22+24</f>
        <v>46</v>
      </c>
      <c r="V9" s="806"/>
      <c r="W9" s="806"/>
      <c r="X9" s="806"/>
      <c r="Y9" s="806"/>
      <c r="Z9" s="806">
        <f>26*3</f>
        <v>78</v>
      </c>
      <c r="AA9" s="806"/>
      <c r="AB9" s="806"/>
      <c r="AC9" s="806"/>
      <c r="AD9" s="806"/>
      <c r="AE9" s="414">
        <f>SUM(AK9:AT9)</f>
        <v>124</v>
      </c>
      <c r="AF9" s="414"/>
      <c r="AG9" s="414"/>
      <c r="AH9" s="414"/>
      <c r="AI9" s="414"/>
      <c r="AJ9" s="414"/>
      <c r="AK9" s="806">
        <f>22+24</f>
        <v>46</v>
      </c>
      <c r="AL9" s="806"/>
      <c r="AM9" s="806"/>
      <c r="AN9" s="806"/>
      <c r="AO9" s="806"/>
      <c r="AP9" s="806">
        <f>26*3</f>
        <v>78</v>
      </c>
      <c r="AQ9" s="806"/>
      <c r="AR9" s="806"/>
      <c r="AS9" s="806"/>
      <c r="AT9" s="806"/>
      <c r="AU9" s="414">
        <f>SUM(BA9:BJ9)</f>
        <v>26</v>
      </c>
      <c r="AV9" s="414"/>
      <c r="AW9" s="414"/>
      <c r="AX9" s="414"/>
      <c r="AY9" s="414"/>
      <c r="AZ9" s="414"/>
      <c r="BA9" s="806">
        <v>21</v>
      </c>
      <c r="BB9" s="806"/>
      <c r="BC9" s="806"/>
      <c r="BD9" s="806"/>
      <c r="BE9" s="806"/>
      <c r="BF9" s="806">
        <v>5</v>
      </c>
      <c r="BG9" s="806"/>
      <c r="BH9" s="806"/>
      <c r="BI9" s="806"/>
      <c r="BJ9" s="806"/>
    </row>
    <row r="10" spans="1:62" ht="12" customHeight="1">
      <c r="B10" s="321"/>
      <c r="C10" s="808" t="s">
        <v>602</v>
      </c>
      <c r="D10" s="808"/>
      <c r="E10" s="808"/>
      <c r="F10" s="808"/>
      <c r="G10" s="808"/>
      <c r="H10" s="808"/>
      <c r="I10" s="808"/>
      <c r="J10" s="808"/>
      <c r="K10" s="808"/>
      <c r="L10" s="808"/>
      <c r="M10" s="808"/>
      <c r="N10" s="320"/>
      <c r="O10" s="414">
        <f>SUM(U10:AD10)</f>
        <v>97</v>
      </c>
      <c r="P10" s="414"/>
      <c r="Q10" s="414"/>
      <c r="R10" s="414"/>
      <c r="S10" s="414"/>
      <c r="T10" s="414"/>
      <c r="U10" s="806">
        <f>8+9+19</f>
        <v>36</v>
      </c>
      <c r="V10" s="806"/>
      <c r="W10" s="806"/>
      <c r="X10" s="806"/>
      <c r="Y10" s="806"/>
      <c r="Z10" s="806">
        <f>19+20+22</f>
        <v>61</v>
      </c>
      <c r="AA10" s="806"/>
      <c r="AB10" s="806"/>
      <c r="AC10" s="806"/>
      <c r="AD10" s="806"/>
      <c r="AE10" s="414">
        <f>SUM(AK10:AT10)</f>
        <v>93</v>
      </c>
      <c r="AF10" s="414"/>
      <c r="AG10" s="414"/>
      <c r="AH10" s="414"/>
      <c r="AI10" s="414"/>
      <c r="AJ10" s="414"/>
      <c r="AK10" s="806">
        <f>8+9+19</f>
        <v>36</v>
      </c>
      <c r="AL10" s="806"/>
      <c r="AM10" s="806"/>
      <c r="AN10" s="806"/>
      <c r="AO10" s="806"/>
      <c r="AP10" s="806">
        <f>19+20+18</f>
        <v>57</v>
      </c>
      <c r="AQ10" s="806"/>
      <c r="AR10" s="806"/>
      <c r="AS10" s="806"/>
      <c r="AT10" s="806"/>
      <c r="AU10" s="414">
        <f>SUM(BA10:BJ10)</f>
        <v>24</v>
      </c>
      <c r="AV10" s="414"/>
      <c r="AW10" s="414"/>
      <c r="AX10" s="414"/>
      <c r="AY10" s="414"/>
      <c r="AZ10" s="414"/>
      <c r="BA10" s="806">
        <v>19</v>
      </c>
      <c r="BB10" s="806"/>
      <c r="BC10" s="806"/>
      <c r="BD10" s="806"/>
      <c r="BE10" s="806"/>
      <c r="BF10" s="806">
        <v>5</v>
      </c>
      <c r="BG10" s="806"/>
      <c r="BH10" s="806"/>
      <c r="BI10" s="806"/>
      <c r="BJ10" s="806"/>
    </row>
    <row r="11" spans="1:62" ht="12" customHeight="1">
      <c r="B11" s="321"/>
      <c r="C11" s="808" t="s">
        <v>601</v>
      </c>
      <c r="D11" s="808"/>
      <c r="E11" s="808"/>
      <c r="F11" s="808"/>
      <c r="G11" s="808"/>
      <c r="H11" s="808"/>
      <c r="I11" s="808"/>
      <c r="J11" s="808"/>
      <c r="K11" s="808"/>
      <c r="L11" s="808"/>
      <c r="M11" s="808"/>
      <c r="N11" s="320"/>
      <c r="O11" s="414">
        <f>SUM(U11:AD11)</f>
        <v>128</v>
      </c>
      <c r="P11" s="414"/>
      <c r="Q11" s="414"/>
      <c r="R11" s="414"/>
      <c r="S11" s="414"/>
      <c r="T11" s="414"/>
      <c r="U11" s="806">
        <f>12+22+22</f>
        <v>56</v>
      </c>
      <c r="V11" s="806"/>
      <c r="W11" s="806"/>
      <c r="X11" s="806"/>
      <c r="Y11" s="806"/>
      <c r="Z11" s="806">
        <f>24*3</f>
        <v>72</v>
      </c>
      <c r="AA11" s="806"/>
      <c r="AB11" s="806"/>
      <c r="AC11" s="806"/>
      <c r="AD11" s="806"/>
      <c r="AE11" s="414">
        <f>SUM(AK11:AT11)</f>
        <v>128</v>
      </c>
      <c r="AF11" s="414"/>
      <c r="AG11" s="414"/>
      <c r="AH11" s="414"/>
      <c r="AI11" s="414"/>
      <c r="AJ11" s="414"/>
      <c r="AK11" s="806">
        <f>12+22+22</f>
        <v>56</v>
      </c>
      <c r="AL11" s="806"/>
      <c r="AM11" s="806"/>
      <c r="AN11" s="806"/>
      <c r="AO11" s="806"/>
      <c r="AP11" s="806">
        <f>24+24+24</f>
        <v>72</v>
      </c>
      <c r="AQ11" s="806"/>
      <c r="AR11" s="806"/>
      <c r="AS11" s="806"/>
      <c r="AT11" s="806"/>
      <c r="AU11" s="414">
        <f>SUM(BA11:BJ11)</f>
        <v>30</v>
      </c>
      <c r="AV11" s="414"/>
      <c r="AW11" s="414"/>
      <c r="AX11" s="414"/>
      <c r="AY11" s="414"/>
      <c r="AZ11" s="414"/>
      <c r="BA11" s="806">
        <v>24</v>
      </c>
      <c r="BB11" s="806"/>
      <c r="BC11" s="806"/>
      <c r="BD11" s="806"/>
      <c r="BE11" s="806"/>
      <c r="BF11" s="806">
        <v>6</v>
      </c>
      <c r="BG11" s="806"/>
      <c r="BH11" s="806"/>
      <c r="BI11" s="806"/>
      <c r="BJ11" s="806"/>
    </row>
    <row r="12" spans="1:62" ht="12" customHeight="1">
      <c r="B12" s="321"/>
      <c r="C12" s="808" t="s">
        <v>600</v>
      </c>
      <c r="D12" s="808"/>
      <c r="E12" s="808"/>
      <c r="F12" s="808"/>
      <c r="G12" s="808"/>
      <c r="H12" s="808"/>
      <c r="I12" s="808"/>
      <c r="J12" s="808"/>
      <c r="K12" s="808"/>
      <c r="L12" s="808"/>
      <c r="M12" s="808"/>
      <c r="N12" s="320"/>
      <c r="O12" s="414">
        <f>SUM(U12:AD12)</f>
        <v>79</v>
      </c>
      <c r="P12" s="414"/>
      <c r="Q12" s="414"/>
      <c r="R12" s="414"/>
      <c r="S12" s="414"/>
      <c r="T12" s="414"/>
      <c r="U12" s="806">
        <f>10+10</f>
        <v>20</v>
      </c>
      <c r="V12" s="806"/>
      <c r="W12" s="806"/>
      <c r="X12" s="806"/>
      <c r="Y12" s="806"/>
      <c r="Z12" s="806">
        <f>15+20+24</f>
        <v>59</v>
      </c>
      <c r="AA12" s="806"/>
      <c r="AB12" s="806"/>
      <c r="AC12" s="806"/>
      <c r="AD12" s="806"/>
      <c r="AE12" s="414">
        <f>SUM(AK12:AT12)</f>
        <v>71</v>
      </c>
      <c r="AF12" s="414"/>
      <c r="AG12" s="414"/>
      <c r="AH12" s="414"/>
      <c r="AI12" s="414"/>
      <c r="AJ12" s="414"/>
      <c r="AK12" s="806">
        <f>10+10</f>
        <v>20</v>
      </c>
      <c r="AL12" s="806"/>
      <c r="AM12" s="806"/>
      <c r="AN12" s="806"/>
      <c r="AO12" s="806"/>
      <c r="AP12" s="806">
        <f>15+16+20</f>
        <v>51</v>
      </c>
      <c r="AQ12" s="806"/>
      <c r="AR12" s="806"/>
      <c r="AS12" s="806"/>
      <c r="AT12" s="806"/>
      <c r="AU12" s="414">
        <f>SUM(BA12:BJ12)</f>
        <v>20</v>
      </c>
      <c r="AV12" s="414"/>
      <c r="AW12" s="414"/>
      <c r="AX12" s="414"/>
      <c r="AY12" s="414"/>
      <c r="AZ12" s="414"/>
      <c r="BA12" s="806">
        <v>15</v>
      </c>
      <c r="BB12" s="806"/>
      <c r="BC12" s="806"/>
      <c r="BD12" s="806"/>
      <c r="BE12" s="806"/>
      <c r="BF12" s="806">
        <v>5</v>
      </c>
      <c r="BG12" s="806"/>
      <c r="BH12" s="806"/>
      <c r="BI12" s="806"/>
      <c r="BJ12" s="806"/>
    </row>
    <row r="13" spans="1:62" ht="12" customHeight="1">
      <c r="B13" s="321" t="s">
        <v>598</v>
      </c>
      <c r="C13" s="808" t="s">
        <v>599</v>
      </c>
      <c r="D13" s="808"/>
      <c r="E13" s="808"/>
      <c r="F13" s="808"/>
      <c r="G13" s="808"/>
      <c r="H13" s="808"/>
      <c r="I13" s="808"/>
      <c r="J13" s="808"/>
      <c r="K13" s="808"/>
      <c r="L13" s="808"/>
      <c r="M13" s="808"/>
      <c r="N13" s="320"/>
      <c r="O13" s="414">
        <f>SUM(U13:AD13)</f>
        <v>128</v>
      </c>
      <c r="P13" s="414"/>
      <c r="Q13" s="414"/>
      <c r="R13" s="414"/>
      <c r="S13" s="414"/>
      <c r="T13" s="414"/>
      <c r="U13" s="806">
        <f>12+19+22</f>
        <v>53</v>
      </c>
      <c r="V13" s="806"/>
      <c r="W13" s="806"/>
      <c r="X13" s="806"/>
      <c r="Y13" s="806"/>
      <c r="Z13" s="806">
        <f>25*3</f>
        <v>75</v>
      </c>
      <c r="AA13" s="806"/>
      <c r="AB13" s="806"/>
      <c r="AC13" s="806"/>
      <c r="AD13" s="806"/>
      <c r="AE13" s="414">
        <f>SUM(AK13:AT13)</f>
        <v>126</v>
      </c>
      <c r="AF13" s="414"/>
      <c r="AG13" s="414"/>
      <c r="AH13" s="414"/>
      <c r="AI13" s="414"/>
      <c r="AJ13" s="414"/>
      <c r="AK13" s="806">
        <f>12+19+22</f>
        <v>53</v>
      </c>
      <c r="AL13" s="806"/>
      <c r="AM13" s="806"/>
      <c r="AN13" s="806"/>
      <c r="AO13" s="806"/>
      <c r="AP13" s="806">
        <f>25+25+23</f>
        <v>73</v>
      </c>
      <c r="AQ13" s="806"/>
      <c r="AR13" s="806"/>
      <c r="AS13" s="806"/>
      <c r="AT13" s="806"/>
      <c r="AU13" s="414">
        <f>SUM(BA13:BJ13)</f>
        <v>31</v>
      </c>
      <c r="AV13" s="414"/>
      <c r="AW13" s="414"/>
      <c r="AX13" s="414"/>
      <c r="AY13" s="414"/>
      <c r="AZ13" s="414"/>
      <c r="BA13" s="806">
        <v>25</v>
      </c>
      <c r="BB13" s="806"/>
      <c r="BC13" s="806"/>
      <c r="BD13" s="806"/>
      <c r="BE13" s="806"/>
      <c r="BF13" s="806">
        <v>6</v>
      </c>
      <c r="BG13" s="806"/>
      <c r="BH13" s="806"/>
      <c r="BI13" s="806"/>
      <c r="BJ13" s="806"/>
    </row>
    <row r="14" spans="1:62" ht="6" customHeight="1">
      <c r="B14" s="321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0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</row>
    <row r="15" spans="1:62" ht="12" customHeight="1">
      <c r="B15" s="321" t="s">
        <v>598</v>
      </c>
      <c r="C15" s="808" t="s">
        <v>597</v>
      </c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320"/>
      <c r="O15" s="414">
        <f>SUM(U15:AD15)</f>
        <v>53</v>
      </c>
      <c r="P15" s="414"/>
      <c r="Q15" s="414"/>
      <c r="R15" s="414"/>
      <c r="S15" s="414"/>
      <c r="T15" s="414"/>
      <c r="U15" s="806">
        <f>5+7+8</f>
        <v>20</v>
      </c>
      <c r="V15" s="806"/>
      <c r="W15" s="806"/>
      <c r="X15" s="806"/>
      <c r="Y15" s="806"/>
      <c r="Z15" s="806">
        <f>11*3</f>
        <v>33</v>
      </c>
      <c r="AA15" s="806"/>
      <c r="AB15" s="806"/>
      <c r="AC15" s="806"/>
      <c r="AD15" s="806"/>
      <c r="AE15" s="414">
        <f>SUM(AK15:AT15)</f>
        <v>53</v>
      </c>
      <c r="AF15" s="414"/>
      <c r="AG15" s="414"/>
      <c r="AH15" s="414"/>
      <c r="AI15" s="414"/>
      <c r="AJ15" s="414"/>
      <c r="AK15" s="806">
        <f>5+7+8</f>
        <v>20</v>
      </c>
      <c r="AL15" s="806"/>
      <c r="AM15" s="806"/>
      <c r="AN15" s="806"/>
      <c r="AO15" s="806"/>
      <c r="AP15" s="806">
        <f>11*3</f>
        <v>33</v>
      </c>
      <c r="AQ15" s="806"/>
      <c r="AR15" s="806"/>
      <c r="AS15" s="806"/>
      <c r="AT15" s="806"/>
      <c r="AU15" s="414">
        <f>SUM(BA15:BJ15)</f>
        <v>22</v>
      </c>
      <c r="AV15" s="414"/>
      <c r="AW15" s="414"/>
      <c r="AX15" s="414"/>
      <c r="AY15" s="414"/>
      <c r="AZ15" s="414"/>
      <c r="BA15" s="806">
        <v>17</v>
      </c>
      <c r="BB15" s="806"/>
      <c r="BC15" s="806"/>
      <c r="BD15" s="806"/>
      <c r="BE15" s="806"/>
      <c r="BF15" s="806">
        <v>5</v>
      </c>
      <c r="BG15" s="806"/>
      <c r="BH15" s="806"/>
      <c r="BI15" s="806"/>
      <c r="BJ15" s="806"/>
    </row>
    <row r="16" spans="1:62" ht="12" customHeight="1">
      <c r="B16" s="321"/>
      <c r="C16" s="808" t="s">
        <v>596</v>
      </c>
      <c r="D16" s="808"/>
      <c r="E16" s="808"/>
      <c r="F16" s="808"/>
      <c r="G16" s="808"/>
      <c r="H16" s="808"/>
      <c r="I16" s="808"/>
      <c r="J16" s="808"/>
      <c r="K16" s="808"/>
      <c r="L16" s="808"/>
      <c r="M16" s="808"/>
      <c r="N16" s="320"/>
      <c r="O16" s="414">
        <f>SUM(U16:AD16)</f>
        <v>102</v>
      </c>
      <c r="P16" s="414"/>
      <c r="Q16" s="414"/>
      <c r="R16" s="414"/>
      <c r="S16" s="414"/>
      <c r="T16" s="414"/>
      <c r="U16" s="806">
        <f>12+14+16</f>
        <v>42</v>
      </c>
      <c r="V16" s="806"/>
      <c r="W16" s="806"/>
      <c r="X16" s="806"/>
      <c r="Y16" s="806"/>
      <c r="Z16" s="806">
        <f>18+21+21</f>
        <v>60</v>
      </c>
      <c r="AA16" s="806"/>
      <c r="AB16" s="806"/>
      <c r="AC16" s="806"/>
      <c r="AD16" s="806"/>
      <c r="AE16" s="414">
        <f>SUM(AK16:AT16)</f>
        <v>100</v>
      </c>
      <c r="AF16" s="414"/>
      <c r="AG16" s="414"/>
      <c r="AH16" s="414"/>
      <c r="AI16" s="414"/>
      <c r="AJ16" s="414"/>
      <c r="AK16" s="806">
        <f>10+14+16</f>
        <v>40</v>
      </c>
      <c r="AL16" s="806"/>
      <c r="AM16" s="806"/>
      <c r="AN16" s="806"/>
      <c r="AO16" s="806"/>
      <c r="AP16" s="806">
        <f>18+21+21</f>
        <v>60</v>
      </c>
      <c r="AQ16" s="806"/>
      <c r="AR16" s="806"/>
      <c r="AS16" s="806"/>
      <c r="AT16" s="806"/>
      <c r="AU16" s="414">
        <f>SUM(BA16:BJ16)</f>
        <v>25</v>
      </c>
      <c r="AV16" s="414"/>
      <c r="AW16" s="414"/>
      <c r="AX16" s="414"/>
      <c r="AY16" s="414"/>
      <c r="AZ16" s="414"/>
      <c r="BA16" s="806">
        <v>20</v>
      </c>
      <c r="BB16" s="806"/>
      <c r="BC16" s="806"/>
      <c r="BD16" s="806"/>
      <c r="BE16" s="806"/>
      <c r="BF16" s="806">
        <v>5</v>
      </c>
      <c r="BG16" s="806"/>
      <c r="BH16" s="806"/>
      <c r="BI16" s="806"/>
      <c r="BJ16" s="806"/>
    </row>
    <row r="17" spans="2:62" ht="12" customHeight="1">
      <c r="B17" s="321"/>
      <c r="C17" s="808" t="s">
        <v>595</v>
      </c>
      <c r="D17" s="808"/>
      <c r="E17" s="808"/>
      <c r="F17" s="808"/>
      <c r="G17" s="808"/>
      <c r="H17" s="808"/>
      <c r="I17" s="808"/>
      <c r="J17" s="808"/>
      <c r="K17" s="808"/>
      <c r="L17" s="808"/>
      <c r="M17" s="808"/>
      <c r="N17" s="320"/>
      <c r="O17" s="414">
        <f>SUM(U17:AD17)</f>
        <v>126</v>
      </c>
      <c r="P17" s="414"/>
      <c r="Q17" s="414"/>
      <c r="R17" s="414"/>
      <c r="S17" s="414"/>
      <c r="T17" s="414"/>
      <c r="U17" s="806">
        <f>10+18+24</f>
        <v>52</v>
      </c>
      <c r="V17" s="806"/>
      <c r="W17" s="806"/>
      <c r="X17" s="806"/>
      <c r="Y17" s="806"/>
      <c r="Z17" s="806">
        <f>24+25+25</f>
        <v>74</v>
      </c>
      <c r="AA17" s="806"/>
      <c r="AB17" s="806"/>
      <c r="AC17" s="806"/>
      <c r="AD17" s="806"/>
      <c r="AE17" s="414">
        <f>SUM(AK17:AT17)</f>
        <v>123</v>
      </c>
      <c r="AF17" s="414"/>
      <c r="AG17" s="414"/>
      <c r="AH17" s="414"/>
      <c r="AI17" s="414"/>
      <c r="AJ17" s="414"/>
      <c r="AK17" s="806">
        <f>10+18+24</f>
        <v>52</v>
      </c>
      <c r="AL17" s="806"/>
      <c r="AM17" s="806"/>
      <c r="AN17" s="806"/>
      <c r="AO17" s="806"/>
      <c r="AP17" s="806">
        <f>24+23+24</f>
        <v>71</v>
      </c>
      <c r="AQ17" s="806"/>
      <c r="AR17" s="806"/>
      <c r="AS17" s="806"/>
      <c r="AT17" s="806"/>
      <c r="AU17" s="414">
        <f>SUM(BA17:BJ17)</f>
        <v>28</v>
      </c>
      <c r="AV17" s="414"/>
      <c r="AW17" s="414"/>
      <c r="AX17" s="414"/>
      <c r="AY17" s="414"/>
      <c r="AZ17" s="414"/>
      <c r="BA17" s="806">
        <v>22</v>
      </c>
      <c r="BB17" s="806"/>
      <c r="BC17" s="806"/>
      <c r="BD17" s="806"/>
      <c r="BE17" s="806"/>
      <c r="BF17" s="806">
        <v>6</v>
      </c>
      <c r="BG17" s="806"/>
      <c r="BH17" s="806"/>
      <c r="BI17" s="806"/>
      <c r="BJ17" s="806"/>
    </row>
    <row r="18" spans="2:62" ht="12" customHeight="1">
      <c r="B18" s="321"/>
      <c r="C18" s="808" t="s">
        <v>594</v>
      </c>
      <c r="D18" s="808"/>
      <c r="E18" s="808"/>
      <c r="F18" s="808"/>
      <c r="G18" s="808"/>
      <c r="H18" s="808"/>
      <c r="I18" s="808"/>
      <c r="J18" s="808"/>
      <c r="K18" s="808"/>
      <c r="L18" s="808"/>
      <c r="M18" s="808"/>
      <c r="N18" s="320"/>
      <c r="O18" s="414">
        <f>SUM(U18:AD18)</f>
        <v>122</v>
      </c>
      <c r="P18" s="414"/>
      <c r="Q18" s="414"/>
      <c r="R18" s="414"/>
      <c r="S18" s="414"/>
      <c r="T18" s="414"/>
      <c r="U18" s="806">
        <f>9+19+22</f>
        <v>50</v>
      </c>
      <c r="V18" s="806"/>
      <c r="W18" s="806"/>
      <c r="X18" s="806"/>
      <c r="Y18" s="806"/>
      <c r="Z18" s="806">
        <v>72</v>
      </c>
      <c r="AA18" s="806"/>
      <c r="AB18" s="806"/>
      <c r="AC18" s="806"/>
      <c r="AD18" s="806"/>
      <c r="AE18" s="414">
        <f>SUM(AK18:AT18)</f>
        <v>118</v>
      </c>
      <c r="AF18" s="414"/>
      <c r="AG18" s="414"/>
      <c r="AH18" s="414"/>
      <c r="AI18" s="414"/>
      <c r="AJ18" s="414"/>
      <c r="AK18" s="806">
        <f>9+19+22</f>
        <v>50</v>
      </c>
      <c r="AL18" s="806"/>
      <c r="AM18" s="806"/>
      <c r="AN18" s="806"/>
      <c r="AO18" s="806"/>
      <c r="AP18" s="806">
        <f>23+21+24</f>
        <v>68</v>
      </c>
      <c r="AQ18" s="806"/>
      <c r="AR18" s="806"/>
      <c r="AS18" s="806"/>
      <c r="AT18" s="806"/>
      <c r="AU18" s="414">
        <f>SUM(BA18:BJ18)</f>
        <v>26</v>
      </c>
      <c r="AV18" s="414"/>
      <c r="AW18" s="414"/>
      <c r="AX18" s="414"/>
      <c r="AY18" s="414"/>
      <c r="AZ18" s="414"/>
      <c r="BA18" s="806">
        <v>20</v>
      </c>
      <c r="BB18" s="806"/>
      <c r="BC18" s="806"/>
      <c r="BD18" s="806"/>
      <c r="BE18" s="806"/>
      <c r="BF18" s="806">
        <v>6</v>
      </c>
      <c r="BG18" s="806"/>
      <c r="BH18" s="806"/>
      <c r="BI18" s="806"/>
      <c r="BJ18" s="806"/>
    </row>
    <row r="19" spans="2:62" ht="12" customHeight="1">
      <c r="B19" s="321"/>
      <c r="C19" s="808" t="s">
        <v>593</v>
      </c>
      <c r="D19" s="808"/>
      <c r="E19" s="808"/>
      <c r="F19" s="808"/>
      <c r="G19" s="808"/>
      <c r="H19" s="808"/>
      <c r="I19" s="808"/>
      <c r="J19" s="808"/>
      <c r="K19" s="808"/>
      <c r="L19" s="808"/>
      <c r="M19" s="808"/>
      <c r="N19" s="320"/>
      <c r="O19" s="414">
        <f>SUM(U19:AD19)</f>
        <v>128</v>
      </c>
      <c r="P19" s="414"/>
      <c r="Q19" s="414"/>
      <c r="R19" s="414"/>
      <c r="S19" s="414"/>
      <c r="T19" s="414"/>
      <c r="U19" s="806">
        <f>12+20+22</f>
        <v>54</v>
      </c>
      <c r="V19" s="806"/>
      <c r="W19" s="806"/>
      <c r="X19" s="806"/>
      <c r="Y19" s="806"/>
      <c r="Z19" s="806">
        <f>24+25+25</f>
        <v>74</v>
      </c>
      <c r="AA19" s="806"/>
      <c r="AB19" s="806"/>
      <c r="AC19" s="806"/>
      <c r="AD19" s="806"/>
      <c r="AE19" s="414">
        <f>SUM(AK19:AT19)</f>
        <v>126</v>
      </c>
      <c r="AF19" s="414"/>
      <c r="AG19" s="414"/>
      <c r="AH19" s="414"/>
      <c r="AI19" s="414"/>
      <c r="AJ19" s="414"/>
      <c r="AK19" s="806">
        <f>12+20+22</f>
        <v>54</v>
      </c>
      <c r="AL19" s="806"/>
      <c r="AM19" s="806"/>
      <c r="AN19" s="806"/>
      <c r="AO19" s="806"/>
      <c r="AP19" s="806">
        <f>24+23+25</f>
        <v>72</v>
      </c>
      <c r="AQ19" s="806"/>
      <c r="AR19" s="806"/>
      <c r="AS19" s="806"/>
      <c r="AT19" s="806"/>
      <c r="AU19" s="414">
        <f>SUM(BA19:BJ19)</f>
        <v>32</v>
      </c>
      <c r="AV19" s="414"/>
      <c r="AW19" s="414"/>
      <c r="AX19" s="414"/>
      <c r="AY19" s="414"/>
      <c r="AZ19" s="414"/>
      <c r="BA19" s="806">
        <v>25</v>
      </c>
      <c r="BB19" s="806"/>
      <c r="BC19" s="806"/>
      <c r="BD19" s="806"/>
      <c r="BE19" s="806"/>
      <c r="BF19" s="806">
        <v>7</v>
      </c>
      <c r="BG19" s="806"/>
      <c r="BH19" s="806"/>
      <c r="BI19" s="806"/>
      <c r="BJ19" s="806"/>
    </row>
    <row r="20" spans="2:62" ht="6" customHeight="1"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36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</row>
    <row r="21" spans="2:62" ht="11.1" customHeight="1">
      <c r="C21" s="400" t="s">
        <v>8</v>
      </c>
      <c r="D21" s="400"/>
      <c r="E21" s="297" t="s">
        <v>591</v>
      </c>
      <c r="F21" s="377">
        <v>-1</v>
      </c>
      <c r="G21" s="377"/>
      <c r="H21" s="2" t="s">
        <v>548</v>
      </c>
      <c r="AD21" s="809">
        <v>-2</v>
      </c>
      <c r="AE21" s="809"/>
      <c r="AF21" s="2" t="s">
        <v>547</v>
      </c>
    </row>
    <row r="22" spans="2:62" ht="11.1" customHeight="1">
      <c r="F22" s="809">
        <v>-3</v>
      </c>
      <c r="G22" s="809"/>
      <c r="H22" s="2" t="s">
        <v>592</v>
      </c>
    </row>
    <row r="23" spans="2:62" ht="11.1" customHeight="1">
      <c r="B23" s="404" t="s">
        <v>9</v>
      </c>
      <c r="C23" s="404"/>
      <c r="D23" s="404"/>
      <c r="E23" s="297" t="s">
        <v>591</v>
      </c>
      <c r="F23" s="2" t="s">
        <v>546</v>
      </c>
    </row>
    <row r="24" spans="2:62" ht="12" customHeight="1"/>
    <row r="25" spans="2:62" ht="11.1" customHeight="1">
      <c r="B25" s="380" t="s">
        <v>590</v>
      </c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380"/>
      <c r="BA25" s="380"/>
      <c r="BB25" s="380"/>
      <c r="BC25" s="380"/>
      <c r="BD25" s="380"/>
      <c r="BE25" s="380"/>
      <c r="BF25" s="380"/>
      <c r="BG25" s="380"/>
      <c r="BH25" s="380"/>
      <c r="BI25" s="380"/>
      <c r="BJ25" s="380"/>
    </row>
    <row r="26" spans="2:62" ht="11.1" customHeight="1">
      <c r="B26" s="326"/>
      <c r="BJ26" s="20" t="s">
        <v>543</v>
      </c>
    </row>
    <row r="27" spans="2:62" ht="13.5" customHeight="1">
      <c r="B27" s="411" t="s">
        <v>542</v>
      </c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 t="s">
        <v>423</v>
      </c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 t="s">
        <v>541</v>
      </c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 t="s">
        <v>466</v>
      </c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386"/>
      <c r="BG27" s="386"/>
      <c r="BH27" s="386"/>
      <c r="BI27" s="386"/>
      <c r="BJ27" s="387"/>
    </row>
    <row r="28" spans="2:62" ht="13.5" customHeight="1">
      <c r="B28" s="412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470" t="s">
        <v>238</v>
      </c>
      <c r="P28" s="470"/>
      <c r="Q28" s="470"/>
      <c r="R28" s="470"/>
      <c r="S28" s="470"/>
      <c r="T28" s="470"/>
      <c r="U28" s="385" t="s">
        <v>540</v>
      </c>
      <c r="V28" s="385"/>
      <c r="W28" s="385"/>
      <c r="X28" s="385"/>
      <c r="Y28" s="385"/>
      <c r="Z28" s="385" t="s">
        <v>539</v>
      </c>
      <c r="AA28" s="385"/>
      <c r="AB28" s="385"/>
      <c r="AC28" s="385"/>
      <c r="AD28" s="385"/>
      <c r="AE28" s="470" t="s">
        <v>238</v>
      </c>
      <c r="AF28" s="470"/>
      <c r="AG28" s="470"/>
      <c r="AH28" s="470"/>
      <c r="AI28" s="470"/>
      <c r="AJ28" s="470"/>
      <c r="AK28" s="385" t="s">
        <v>540</v>
      </c>
      <c r="AL28" s="385"/>
      <c r="AM28" s="385"/>
      <c r="AN28" s="385"/>
      <c r="AO28" s="385"/>
      <c r="AP28" s="385" t="s">
        <v>539</v>
      </c>
      <c r="AQ28" s="385"/>
      <c r="AR28" s="385"/>
      <c r="AS28" s="385"/>
      <c r="AT28" s="385"/>
      <c r="AU28" s="470" t="s">
        <v>238</v>
      </c>
      <c r="AV28" s="470"/>
      <c r="AW28" s="470"/>
      <c r="AX28" s="470"/>
      <c r="AY28" s="470"/>
      <c r="AZ28" s="470"/>
      <c r="BA28" s="385" t="s">
        <v>538</v>
      </c>
      <c r="BB28" s="385"/>
      <c r="BC28" s="385"/>
      <c r="BD28" s="385"/>
      <c r="BE28" s="385"/>
      <c r="BF28" s="385" t="s">
        <v>196</v>
      </c>
      <c r="BG28" s="385"/>
      <c r="BH28" s="385"/>
      <c r="BI28" s="385"/>
      <c r="BJ28" s="388"/>
    </row>
    <row r="29" spans="2:62" ht="6" customHeight="1">
      <c r="N29" s="335"/>
    </row>
    <row r="30" spans="2:62" ht="12" customHeight="1">
      <c r="C30" s="807" t="s">
        <v>18</v>
      </c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334"/>
      <c r="O30" s="813">
        <f>SUM(O32:T80)</f>
        <v>3318</v>
      </c>
      <c r="P30" s="813"/>
      <c r="Q30" s="813"/>
      <c r="R30" s="813"/>
      <c r="S30" s="813"/>
      <c r="T30" s="813"/>
      <c r="U30" s="814">
        <f>SUM(U32:Y80)</f>
        <v>1399</v>
      </c>
      <c r="V30" s="814"/>
      <c r="W30" s="814"/>
      <c r="X30" s="814"/>
      <c r="Y30" s="814"/>
      <c r="Z30" s="814">
        <f>SUM(Z32:AD80)</f>
        <v>1919</v>
      </c>
      <c r="AA30" s="814"/>
      <c r="AB30" s="814"/>
      <c r="AC30" s="814"/>
      <c r="AD30" s="814"/>
      <c r="AE30" s="405">
        <f>SUM(AE32:AJ80)</f>
        <v>3214</v>
      </c>
      <c r="AF30" s="405"/>
      <c r="AG30" s="405"/>
      <c r="AH30" s="405"/>
      <c r="AI30" s="405"/>
      <c r="AJ30" s="405"/>
      <c r="AK30" s="814">
        <f>SUM(AK32:AO80)</f>
        <v>1392</v>
      </c>
      <c r="AL30" s="814"/>
      <c r="AM30" s="814"/>
      <c r="AN30" s="814"/>
      <c r="AO30" s="814"/>
      <c r="AP30" s="814">
        <f>SUM(AP32:AT80)</f>
        <v>1822</v>
      </c>
      <c r="AQ30" s="814"/>
      <c r="AR30" s="814"/>
      <c r="AS30" s="814"/>
      <c r="AT30" s="814"/>
      <c r="AU30" s="405">
        <f>SUM(AU32:AZ80)</f>
        <v>836</v>
      </c>
      <c r="AV30" s="405"/>
      <c r="AW30" s="405"/>
      <c r="AX30" s="405"/>
      <c r="AY30" s="405"/>
      <c r="AZ30" s="405"/>
      <c r="BA30" s="814">
        <f>SUM(BA32:BE80)</f>
        <v>644</v>
      </c>
      <c r="BB30" s="814"/>
      <c r="BC30" s="814"/>
      <c r="BD30" s="814"/>
      <c r="BE30" s="814"/>
      <c r="BF30" s="814">
        <f>SUM(BF32:BJ80)</f>
        <v>192</v>
      </c>
      <c r="BG30" s="814"/>
      <c r="BH30" s="814"/>
      <c r="BI30" s="814"/>
      <c r="BJ30" s="814"/>
    </row>
    <row r="31" spans="2:62" ht="6" customHeight="1">
      <c r="N31" s="334"/>
    </row>
    <row r="32" spans="2:62" ht="12" customHeight="1">
      <c r="C32" s="629" t="s">
        <v>589</v>
      </c>
      <c r="D32" s="629"/>
      <c r="E32" s="629"/>
      <c r="F32" s="629"/>
      <c r="G32" s="629"/>
      <c r="H32" s="629"/>
      <c r="I32" s="629"/>
      <c r="J32" s="629"/>
      <c r="K32" s="629"/>
      <c r="L32" s="629"/>
      <c r="M32" s="629"/>
      <c r="N32" s="311"/>
      <c r="O32" s="402">
        <f>SUM(U32:AD32)</f>
        <v>108</v>
      </c>
      <c r="P32" s="402"/>
      <c r="Q32" s="402"/>
      <c r="R32" s="402"/>
      <c r="S32" s="402"/>
      <c r="T32" s="402"/>
      <c r="U32" s="806">
        <v>48</v>
      </c>
      <c r="V32" s="806"/>
      <c r="W32" s="806"/>
      <c r="X32" s="806"/>
      <c r="Y32" s="806"/>
      <c r="Z32" s="806">
        <v>60</v>
      </c>
      <c r="AA32" s="806"/>
      <c r="AB32" s="806"/>
      <c r="AC32" s="806"/>
      <c r="AD32" s="806"/>
      <c r="AE32" s="414">
        <f>SUM(AK32:AT32)</f>
        <v>105</v>
      </c>
      <c r="AF32" s="414"/>
      <c r="AG32" s="414"/>
      <c r="AH32" s="414"/>
      <c r="AI32" s="414"/>
      <c r="AJ32" s="414"/>
      <c r="AK32" s="806">
        <f>12+16+19</f>
        <v>47</v>
      </c>
      <c r="AL32" s="806"/>
      <c r="AM32" s="806"/>
      <c r="AN32" s="806"/>
      <c r="AO32" s="806"/>
      <c r="AP32" s="806">
        <f>20+20+18</f>
        <v>58</v>
      </c>
      <c r="AQ32" s="806"/>
      <c r="AR32" s="806"/>
      <c r="AS32" s="806"/>
      <c r="AT32" s="806"/>
      <c r="AU32" s="414">
        <f>SUM(BA32:BJ32)</f>
        <v>29</v>
      </c>
      <c r="AV32" s="414"/>
      <c r="AW32" s="414"/>
      <c r="AX32" s="414"/>
      <c r="AY32" s="414"/>
      <c r="AZ32" s="414"/>
      <c r="BA32" s="806">
        <v>21</v>
      </c>
      <c r="BB32" s="806"/>
      <c r="BC32" s="806"/>
      <c r="BD32" s="806"/>
      <c r="BE32" s="806"/>
      <c r="BF32" s="806">
        <v>8</v>
      </c>
      <c r="BG32" s="806"/>
      <c r="BH32" s="806"/>
      <c r="BI32" s="806"/>
      <c r="BJ32" s="806"/>
    </row>
    <row r="33" spans="3:62" ht="12" customHeight="1">
      <c r="C33" s="629" t="s">
        <v>588</v>
      </c>
      <c r="D33" s="629"/>
      <c r="E33" s="629"/>
      <c r="F33" s="629"/>
      <c r="G33" s="629"/>
      <c r="H33" s="629"/>
      <c r="I33" s="629"/>
      <c r="J33" s="629"/>
      <c r="K33" s="629"/>
      <c r="L33" s="629"/>
      <c r="M33" s="629"/>
      <c r="N33" s="311"/>
      <c r="O33" s="402">
        <f>SUM(U33:AD33)</f>
        <v>120</v>
      </c>
      <c r="P33" s="402"/>
      <c r="Q33" s="402"/>
      <c r="R33" s="402"/>
      <c r="S33" s="402"/>
      <c r="T33" s="402"/>
      <c r="U33" s="806">
        <v>28</v>
      </c>
      <c r="V33" s="806"/>
      <c r="W33" s="806"/>
      <c r="X33" s="806"/>
      <c r="Y33" s="806"/>
      <c r="Z33" s="806">
        <v>92</v>
      </c>
      <c r="AA33" s="806"/>
      <c r="AB33" s="806"/>
      <c r="AC33" s="806"/>
      <c r="AD33" s="806"/>
      <c r="AE33" s="414">
        <f>SUM(AK33:AT33)</f>
        <v>120</v>
      </c>
      <c r="AF33" s="414"/>
      <c r="AG33" s="414"/>
      <c r="AH33" s="414"/>
      <c r="AI33" s="414"/>
      <c r="AJ33" s="414"/>
      <c r="AK33" s="806">
        <v>28</v>
      </c>
      <c r="AL33" s="806"/>
      <c r="AM33" s="806"/>
      <c r="AN33" s="806"/>
      <c r="AO33" s="806"/>
      <c r="AP33" s="806">
        <v>92</v>
      </c>
      <c r="AQ33" s="806"/>
      <c r="AR33" s="806"/>
      <c r="AS33" s="806"/>
      <c r="AT33" s="806"/>
      <c r="AU33" s="414">
        <f>SUM(BA33:BJ33)</f>
        <v>22</v>
      </c>
      <c r="AV33" s="414"/>
      <c r="AW33" s="414"/>
      <c r="AX33" s="414"/>
      <c r="AY33" s="414"/>
      <c r="AZ33" s="414"/>
      <c r="BA33" s="806">
        <v>18</v>
      </c>
      <c r="BB33" s="806"/>
      <c r="BC33" s="806"/>
      <c r="BD33" s="806"/>
      <c r="BE33" s="806"/>
      <c r="BF33" s="806">
        <v>4</v>
      </c>
      <c r="BG33" s="806"/>
      <c r="BH33" s="806"/>
      <c r="BI33" s="806"/>
      <c r="BJ33" s="806"/>
    </row>
    <row r="34" spans="3:62" ht="12" customHeight="1">
      <c r="C34" s="629" t="s">
        <v>587</v>
      </c>
      <c r="D34" s="629"/>
      <c r="E34" s="629"/>
      <c r="F34" s="629"/>
      <c r="G34" s="629"/>
      <c r="H34" s="629"/>
      <c r="I34" s="629"/>
      <c r="J34" s="629"/>
      <c r="K34" s="629"/>
      <c r="L34" s="629"/>
      <c r="M34" s="629"/>
      <c r="N34" s="311"/>
      <c r="O34" s="402">
        <f>SUM(U34:AD34)</f>
        <v>80</v>
      </c>
      <c r="P34" s="402"/>
      <c r="Q34" s="402"/>
      <c r="R34" s="402"/>
      <c r="S34" s="402"/>
      <c r="T34" s="402"/>
      <c r="U34" s="806">
        <v>21</v>
      </c>
      <c r="V34" s="806"/>
      <c r="W34" s="806"/>
      <c r="X34" s="806"/>
      <c r="Y34" s="806"/>
      <c r="Z34" s="806">
        <v>59</v>
      </c>
      <c r="AA34" s="806"/>
      <c r="AB34" s="806"/>
      <c r="AC34" s="806"/>
      <c r="AD34" s="806"/>
      <c r="AE34" s="414">
        <f>SUM(AK34:AT34)</f>
        <v>79</v>
      </c>
      <c r="AF34" s="414"/>
      <c r="AG34" s="414"/>
      <c r="AH34" s="414"/>
      <c r="AI34" s="414"/>
      <c r="AJ34" s="414"/>
      <c r="AK34" s="806">
        <f>9+12</f>
        <v>21</v>
      </c>
      <c r="AL34" s="806"/>
      <c r="AM34" s="806"/>
      <c r="AN34" s="806"/>
      <c r="AO34" s="806"/>
      <c r="AP34" s="806">
        <f>18+20+20</f>
        <v>58</v>
      </c>
      <c r="AQ34" s="806"/>
      <c r="AR34" s="806"/>
      <c r="AS34" s="806"/>
      <c r="AT34" s="806"/>
      <c r="AU34" s="414">
        <f>SUM(BA34:BJ34)</f>
        <v>31</v>
      </c>
      <c r="AV34" s="414"/>
      <c r="AW34" s="414"/>
      <c r="AX34" s="414"/>
      <c r="AY34" s="414"/>
      <c r="AZ34" s="414"/>
      <c r="BA34" s="806">
        <v>24</v>
      </c>
      <c r="BB34" s="806"/>
      <c r="BC34" s="806"/>
      <c r="BD34" s="806"/>
      <c r="BE34" s="806"/>
      <c r="BF34" s="806">
        <v>7</v>
      </c>
      <c r="BG34" s="806"/>
      <c r="BH34" s="806"/>
      <c r="BI34" s="806"/>
      <c r="BJ34" s="806"/>
    </row>
    <row r="35" spans="3:62" ht="12" customHeight="1">
      <c r="C35" s="629" t="s">
        <v>586</v>
      </c>
      <c r="D35" s="629"/>
      <c r="E35" s="629"/>
      <c r="F35" s="629"/>
      <c r="G35" s="629"/>
      <c r="H35" s="629"/>
      <c r="I35" s="629"/>
      <c r="J35" s="629"/>
      <c r="K35" s="629"/>
      <c r="L35" s="629"/>
      <c r="M35" s="629"/>
      <c r="N35" s="311"/>
      <c r="O35" s="402">
        <f>SUM(U35:AD35)</f>
        <v>29</v>
      </c>
      <c r="P35" s="402"/>
      <c r="Q35" s="402"/>
      <c r="R35" s="402"/>
      <c r="S35" s="402"/>
      <c r="T35" s="402"/>
      <c r="U35" s="806">
        <v>29</v>
      </c>
      <c r="V35" s="806"/>
      <c r="W35" s="806"/>
      <c r="X35" s="806"/>
      <c r="Y35" s="806"/>
      <c r="Z35" s="414">
        <v>0</v>
      </c>
      <c r="AA35" s="414"/>
      <c r="AB35" s="414"/>
      <c r="AC35" s="414"/>
      <c r="AD35" s="414"/>
      <c r="AE35" s="414">
        <f>SUM(AK35:AT35)</f>
        <v>29</v>
      </c>
      <c r="AF35" s="414"/>
      <c r="AG35" s="414"/>
      <c r="AH35" s="414"/>
      <c r="AI35" s="414"/>
      <c r="AJ35" s="414"/>
      <c r="AK35" s="806">
        <v>29</v>
      </c>
      <c r="AL35" s="806"/>
      <c r="AM35" s="806"/>
      <c r="AN35" s="806"/>
      <c r="AO35" s="806"/>
      <c r="AP35" s="414">
        <v>0</v>
      </c>
      <c r="AQ35" s="414"/>
      <c r="AR35" s="414"/>
      <c r="AS35" s="414"/>
      <c r="AT35" s="414"/>
      <c r="AU35" s="414">
        <f>SUM(BA35:BJ35)</f>
        <v>0</v>
      </c>
      <c r="AV35" s="414"/>
      <c r="AW35" s="414"/>
      <c r="AX35" s="414"/>
      <c r="AY35" s="414"/>
      <c r="AZ35" s="414"/>
      <c r="BA35" s="806">
        <v>0</v>
      </c>
      <c r="BB35" s="806"/>
      <c r="BC35" s="806"/>
      <c r="BD35" s="806"/>
      <c r="BE35" s="806"/>
      <c r="BF35" s="806">
        <v>0</v>
      </c>
      <c r="BG35" s="806"/>
      <c r="BH35" s="806"/>
      <c r="BI35" s="806"/>
      <c r="BJ35" s="806"/>
    </row>
    <row r="36" spans="3:62" ht="12" customHeight="1">
      <c r="C36" s="629" t="s">
        <v>585</v>
      </c>
      <c r="D36" s="629"/>
      <c r="E36" s="629"/>
      <c r="F36" s="629"/>
      <c r="G36" s="629"/>
      <c r="H36" s="629"/>
      <c r="I36" s="629"/>
      <c r="J36" s="629"/>
      <c r="K36" s="629"/>
      <c r="L36" s="629"/>
      <c r="M36" s="629"/>
      <c r="N36" s="311"/>
      <c r="O36" s="402">
        <f>SUM(U36:AD36)</f>
        <v>75</v>
      </c>
      <c r="P36" s="402"/>
      <c r="Q36" s="402"/>
      <c r="R36" s="402"/>
      <c r="S36" s="402"/>
      <c r="T36" s="402"/>
      <c r="U36" s="806">
        <v>31</v>
      </c>
      <c r="V36" s="806"/>
      <c r="W36" s="806"/>
      <c r="X36" s="806"/>
      <c r="Y36" s="806"/>
      <c r="Z36" s="806">
        <v>44</v>
      </c>
      <c r="AA36" s="806"/>
      <c r="AB36" s="806"/>
      <c r="AC36" s="806"/>
      <c r="AD36" s="806"/>
      <c r="AE36" s="414">
        <f>SUM(AK36:AT36)</f>
        <v>72</v>
      </c>
      <c r="AF36" s="414"/>
      <c r="AG36" s="414"/>
      <c r="AH36" s="414"/>
      <c r="AI36" s="414"/>
      <c r="AJ36" s="414"/>
      <c r="AK36" s="806">
        <f>9+10+12</f>
        <v>31</v>
      </c>
      <c r="AL36" s="806"/>
      <c r="AM36" s="806"/>
      <c r="AN36" s="806"/>
      <c r="AO36" s="806"/>
      <c r="AP36" s="806">
        <f>14+14+13</f>
        <v>41</v>
      </c>
      <c r="AQ36" s="806"/>
      <c r="AR36" s="806"/>
      <c r="AS36" s="806"/>
      <c r="AT36" s="806"/>
      <c r="AU36" s="414">
        <f>SUM(BA36:BJ36)</f>
        <v>18</v>
      </c>
      <c r="AV36" s="414"/>
      <c r="AW36" s="414"/>
      <c r="AX36" s="414"/>
      <c r="AY36" s="414"/>
      <c r="AZ36" s="414"/>
      <c r="BA36" s="806">
        <v>15</v>
      </c>
      <c r="BB36" s="806"/>
      <c r="BC36" s="806"/>
      <c r="BD36" s="806"/>
      <c r="BE36" s="806"/>
      <c r="BF36" s="806">
        <v>3</v>
      </c>
      <c r="BG36" s="806"/>
      <c r="BH36" s="806"/>
      <c r="BI36" s="806"/>
      <c r="BJ36" s="806"/>
    </row>
    <row r="37" spans="3:62" ht="6" customHeight="1"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1"/>
      <c r="O37" s="301"/>
      <c r="P37" s="301"/>
      <c r="Q37" s="301"/>
      <c r="R37" s="301"/>
      <c r="S37" s="301"/>
      <c r="T37" s="301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3"/>
      <c r="BI37" s="303"/>
      <c r="BJ37" s="303"/>
    </row>
    <row r="38" spans="3:62" ht="12" customHeight="1">
      <c r="C38" s="629" t="s">
        <v>584</v>
      </c>
      <c r="D38" s="629"/>
      <c r="E38" s="629"/>
      <c r="F38" s="629"/>
      <c r="G38" s="629"/>
      <c r="H38" s="629"/>
      <c r="I38" s="629"/>
      <c r="J38" s="629"/>
      <c r="K38" s="629"/>
      <c r="L38" s="629"/>
      <c r="M38" s="629"/>
      <c r="N38" s="311"/>
      <c r="O38" s="402">
        <f>SUM(U38:AD38)</f>
        <v>47</v>
      </c>
      <c r="P38" s="402"/>
      <c r="Q38" s="402"/>
      <c r="R38" s="402"/>
      <c r="S38" s="402"/>
      <c r="T38" s="402"/>
      <c r="U38" s="806">
        <v>15</v>
      </c>
      <c r="V38" s="806"/>
      <c r="W38" s="806"/>
      <c r="X38" s="806"/>
      <c r="Y38" s="806"/>
      <c r="Z38" s="806">
        <v>32</v>
      </c>
      <c r="AA38" s="806"/>
      <c r="AB38" s="806"/>
      <c r="AC38" s="806"/>
      <c r="AD38" s="806"/>
      <c r="AE38" s="414">
        <f>SUM(AK38:AT38)</f>
        <v>47</v>
      </c>
      <c r="AF38" s="414"/>
      <c r="AG38" s="414"/>
      <c r="AH38" s="414"/>
      <c r="AI38" s="414"/>
      <c r="AJ38" s="414"/>
      <c r="AK38" s="806">
        <v>15</v>
      </c>
      <c r="AL38" s="806"/>
      <c r="AM38" s="806"/>
      <c r="AN38" s="806"/>
      <c r="AO38" s="806"/>
      <c r="AP38" s="806">
        <v>32</v>
      </c>
      <c r="AQ38" s="806"/>
      <c r="AR38" s="806"/>
      <c r="AS38" s="806"/>
      <c r="AT38" s="806"/>
      <c r="AU38" s="414">
        <f>SUM(BA38:BJ38)</f>
        <v>11</v>
      </c>
      <c r="AV38" s="414"/>
      <c r="AW38" s="414"/>
      <c r="AX38" s="414"/>
      <c r="AY38" s="414"/>
      <c r="AZ38" s="414"/>
      <c r="BA38" s="806">
        <v>10</v>
      </c>
      <c r="BB38" s="806"/>
      <c r="BC38" s="806"/>
      <c r="BD38" s="806"/>
      <c r="BE38" s="806"/>
      <c r="BF38" s="806">
        <v>1</v>
      </c>
      <c r="BG38" s="806"/>
      <c r="BH38" s="806"/>
      <c r="BI38" s="806"/>
      <c r="BJ38" s="806"/>
    </row>
    <row r="39" spans="3:62" ht="12" customHeight="1">
      <c r="C39" s="629" t="s">
        <v>583</v>
      </c>
      <c r="D39" s="629"/>
      <c r="E39" s="629"/>
      <c r="F39" s="629"/>
      <c r="G39" s="629"/>
      <c r="H39" s="629"/>
      <c r="I39" s="629"/>
      <c r="J39" s="629"/>
      <c r="K39" s="629"/>
      <c r="L39" s="629"/>
      <c r="M39" s="629"/>
      <c r="N39" s="311"/>
      <c r="O39" s="402">
        <f>SUM(U39:AD39)</f>
        <v>100</v>
      </c>
      <c r="P39" s="402"/>
      <c r="Q39" s="402"/>
      <c r="R39" s="402"/>
      <c r="S39" s="402"/>
      <c r="T39" s="402"/>
      <c r="U39" s="806">
        <v>42</v>
      </c>
      <c r="V39" s="806"/>
      <c r="W39" s="806"/>
      <c r="X39" s="806"/>
      <c r="Y39" s="806"/>
      <c r="Z39" s="806">
        <v>58</v>
      </c>
      <c r="AA39" s="806"/>
      <c r="AB39" s="806"/>
      <c r="AC39" s="806"/>
      <c r="AD39" s="806"/>
      <c r="AE39" s="414">
        <f>SUM(AK39:AT39)</f>
        <v>100</v>
      </c>
      <c r="AF39" s="414"/>
      <c r="AG39" s="414"/>
      <c r="AH39" s="414"/>
      <c r="AI39" s="414"/>
      <c r="AJ39" s="414"/>
      <c r="AK39" s="806">
        <v>42</v>
      </c>
      <c r="AL39" s="806"/>
      <c r="AM39" s="806"/>
      <c r="AN39" s="806"/>
      <c r="AO39" s="806"/>
      <c r="AP39" s="806">
        <v>58</v>
      </c>
      <c r="AQ39" s="806"/>
      <c r="AR39" s="806"/>
      <c r="AS39" s="806"/>
      <c r="AT39" s="806"/>
      <c r="AU39" s="414">
        <f>SUM(BA39:BJ39)</f>
        <v>24</v>
      </c>
      <c r="AV39" s="414"/>
      <c r="AW39" s="414"/>
      <c r="AX39" s="414"/>
      <c r="AY39" s="414"/>
      <c r="AZ39" s="414"/>
      <c r="BA39" s="806">
        <v>20</v>
      </c>
      <c r="BB39" s="806"/>
      <c r="BC39" s="806"/>
      <c r="BD39" s="806"/>
      <c r="BE39" s="806"/>
      <c r="BF39" s="806">
        <v>4</v>
      </c>
      <c r="BG39" s="806"/>
      <c r="BH39" s="806"/>
      <c r="BI39" s="806"/>
      <c r="BJ39" s="806"/>
    </row>
    <row r="40" spans="3:62" ht="12" customHeight="1">
      <c r="C40" s="629" t="s">
        <v>582</v>
      </c>
      <c r="D40" s="629"/>
      <c r="E40" s="629"/>
      <c r="F40" s="629"/>
      <c r="G40" s="629"/>
      <c r="H40" s="629"/>
      <c r="I40" s="629"/>
      <c r="J40" s="629"/>
      <c r="K40" s="629"/>
      <c r="L40" s="629"/>
      <c r="M40" s="629"/>
      <c r="N40" s="311"/>
      <c r="O40" s="402">
        <f>SUM(U40:AD40)</f>
        <v>100</v>
      </c>
      <c r="P40" s="402"/>
      <c r="Q40" s="402"/>
      <c r="R40" s="402"/>
      <c r="S40" s="402"/>
      <c r="T40" s="402"/>
      <c r="U40" s="806">
        <v>35</v>
      </c>
      <c r="V40" s="806"/>
      <c r="W40" s="806"/>
      <c r="X40" s="806"/>
      <c r="Y40" s="806"/>
      <c r="Z40" s="806">
        <v>65</v>
      </c>
      <c r="AA40" s="806"/>
      <c r="AB40" s="806"/>
      <c r="AC40" s="806"/>
      <c r="AD40" s="806"/>
      <c r="AE40" s="414">
        <f>SUM(AK40:AT40)</f>
        <v>100</v>
      </c>
      <c r="AF40" s="414"/>
      <c r="AG40" s="414"/>
      <c r="AH40" s="414"/>
      <c r="AI40" s="414"/>
      <c r="AJ40" s="414"/>
      <c r="AK40" s="806">
        <v>35</v>
      </c>
      <c r="AL40" s="806"/>
      <c r="AM40" s="806"/>
      <c r="AN40" s="806"/>
      <c r="AO40" s="806"/>
      <c r="AP40" s="806">
        <v>65</v>
      </c>
      <c r="AQ40" s="806"/>
      <c r="AR40" s="806"/>
      <c r="AS40" s="806"/>
      <c r="AT40" s="806"/>
      <c r="AU40" s="414">
        <f>SUM(BA40:BJ40)</f>
        <v>28</v>
      </c>
      <c r="AV40" s="414"/>
      <c r="AW40" s="414"/>
      <c r="AX40" s="414"/>
      <c r="AY40" s="414"/>
      <c r="AZ40" s="414"/>
      <c r="BA40" s="806">
        <v>15</v>
      </c>
      <c r="BB40" s="806"/>
      <c r="BC40" s="806"/>
      <c r="BD40" s="806"/>
      <c r="BE40" s="806"/>
      <c r="BF40" s="806">
        <v>13</v>
      </c>
      <c r="BG40" s="806"/>
      <c r="BH40" s="806"/>
      <c r="BI40" s="806"/>
      <c r="BJ40" s="806"/>
    </row>
    <row r="41" spans="3:62" ht="12" customHeight="1">
      <c r="C41" s="629" t="s">
        <v>581</v>
      </c>
      <c r="D41" s="629"/>
      <c r="E41" s="629"/>
      <c r="F41" s="629"/>
      <c r="G41" s="629"/>
      <c r="H41" s="629"/>
      <c r="I41" s="629"/>
      <c r="J41" s="629"/>
      <c r="K41" s="629"/>
      <c r="L41" s="629"/>
      <c r="M41" s="629"/>
      <c r="N41" s="311"/>
      <c r="O41" s="402">
        <f>SUM(U41:AD41)</f>
        <v>73</v>
      </c>
      <c r="P41" s="402"/>
      <c r="Q41" s="402"/>
      <c r="R41" s="402"/>
      <c r="S41" s="402"/>
      <c r="T41" s="402"/>
      <c r="U41" s="806">
        <v>21</v>
      </c>
      <c r="V41" s="806"/>
      <c r="W41" s="806"/>
      <c r="X41" s="806"/>
      <c r="Y41" s="806"/>
      <c r="Z41" s="806">
        <v>52</v>
      </c>
      <c r="AA41" s="806"/>
      <c r="AB41" s="806"/>
      <c r="AC41" s="806"/>
      <c r="AD41" s="806"/>
      <c r="AE41" s="414">
        <f>SUM(AK41:AT41)</f>
        <v>71</v>
      </c>
      <c r="AF41" s="414"/>
      <c r="AG41" s="414"/>
      <c r="AH41" s="414"/>
      <c r="AI41" s="414"/>
      <c r="AJ41" s="414"/>
      <c r="AK41" s="806">
        <v>21</v>
      </c>
      <c r="AL41" s="806"/>
      <c r="AM41" s="806"/>
      <c r="AN41" s="806"/>
      <c r="AO41" s="806"/>
      <c r="AP41" s="806">
        <v>50</v>
      </c>
      <c r="AQ41" s="806"/>
      <c r="AR41" s="806"/>
      <c r="AS41" s="806"/>
      <c r="AT41" s="806"/>
      <c r="AU41" s="414">
        <f>SUM(BA41:BJ41)</f>
        <v>13</v>
      </c>
      <c r="AV41" s="414"/>
      <c r="AW41" s="414"/>
      <c r="AX41" s="414"/>
      <c r="AY41" s="414"/>
      <c r="AZ41" s="414"/>
      <c r="BA41" s="806">
        <v>10</v>
      </c>
      <c r="BB41" s="806"/>
      <c r="BC41" s="806"/>
      <c r="BD41" s="806"/>
      <c r="BE41" s="806"/>
      <c r="BF41" s="806">
        <v>3</v>
      </c>
      <c r="BG41" s="806"/>
      <c r="BH41" s="806"/>
      <c r="BI41" s="806"/>
      <c r="BJ41" s="806"/>
    </row>
    <row r="42" spans="3:62" ht="12" customHeight="1">
      <c r="C42" s="629" t="s">
        <v>580</v>
      </c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311"/>
      <c r="O42" s="402">
        <f>SUM(U42:AD42)</f>
        <v>70</v>
      </c>
      <c r="P42" s="402"/>
      <c r="Q42" s="402"/>
      <c r="R42" s="402"/>
      <c r="S42" s="402"/>
      <c r="T42" s="402"/>
      <c r="U42" s="806">
        <v>31</v>
      </c>
      <c r="V42" s="806"/>
      <c r="W42" s="806"/>
      <c r="X42" s="806"/>
      <c r="Y42" s="806"/>
      <c r="Z42" s="806">
        <v>39</v>
      </c>
      <c r="AA42" s="806"/>
      <c r="AB42" s="806"/>
      <c r="AC42" s="806"/>
      <c r="AD42" s="806"/>
      <c r="AE42" s="414">
        <f>SUM(AK42:AT42)</f>
        <v>69</v>
      </c>
      <c r="AF42" s="414"/>
      <c r="AG42" s="414"/>
      <c r="AH42" s="414"/>
      <c r="AI42" s="414"/>
      <c r="AJ42" s="414"/>
      <c r="AK42" s="806">
        <f>9+10+12</f>
        <v>31</v>
      </c>
      <c r="AL42" s="806"/>
      <c r="AM42" s="806"/>
      <c r="AN42" s="806"/>
      <c r="AO42" s="806"/>
      <c r="AP42" s="806">
        <f>13+13+12</f>
        <v>38</v>
      </c>
      <c r="AQ42" s="806"/>
      <c r="AR42" s="806"/>
      <c r="AS42" s="806"/>
      <c r="AT42" s="806"/>
      <c r="AU42" s="414">
        <f>SUM(BA42:BJ42)</f>
        <v>17</v>
      </c>
      <c r="AV42" s="414"/>
      <c r="AW42" s="414"/>
      <c r="AX42" s="414"/>
      <c r="AY42" s="414"/>
      <c r="AZ42" s="414"/>
      <c r="BA42" s="806">
        <v>13</v>
      </c>
      <c r="BB42" s="806"/>
      <c r="BC42" s="806"/>
      <c r="BD42" s="806"/>
      <c r="BE42" s="806"/>
      <c r="BF42" s="806">
        <v>4</v>
      </c>
      <c r="BG42" s="806"/>
      <c r="BH42" s="806"/>
      <c r="BI42" s="806"/>
      <c r="BJ42" s="806"/>
    </row>
    <row r="43" spans="3:62" ht="6" customHeight="1"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1"/>
      <c r="O43" s="301"/>
      <c r="P43" s="301"/>
      <c r="Q43" s="301"/>
      <c r="R43" s="301"/>
      <c r="S43" s="301"/>
      <c r="T43" s="301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03"/>
      <c r="BG43" s="303"/>
      <c r="BH43" s="303"/>
      <c r="BI43" s="303"/>
      <c r="BJ43" s="303"/>
    </row>
    <row r="44" spans="3:62" ht="12" customHeight="1">
      <c r="C44" s="629" t="s">
        <v>579</v>
      </c>
      <c r="D44" s="629"/>
      <c r="E44" s="629"/>
      <c r="F44" s="629"/>
      <c r="G44" s="629"/>
      <c r="H44" s="629"/>
      <c r="I44" s="629"/>
      <c r="J44" s="629"/>
      <c r="K44" s="629"/>
      <c r="L44" s="629"/>
      <c r="M44" s="629"/>
      <c r="N44" s="311"/>
      <c r="O44" s="402">
        <f>SUM(U44:AD44)</f>
        <v>60</v>
      </c>
      <c r="P44" s="402"/>
      <c r="Q44" s="402"/>
      <c r="R44" s="402"/>
      <c r="S44" s="402"/>
      <c r="T44" s="402"/>
      <c r="U44" s="806">
        <v>17</v>
      </c>
      <c r="V44" s="806"/>
      <c r="W44" s="806"/>
      <c r="X44" s="806"/>
      <c r="Y44" s="806"/>
      <c r="Z44" s="806">
        <v>43</v>
      </c>
      <c r="AA44" s="806"/>
      <c r="AB44" s="806"/>
      <c r="AC44" s="806"/>
      <c r="AD44" s="806"/>
      <c r="AE44" s="414">
        <f>SUM(AK44:AT44)</f>
        <v>60</v>
      </c>
      <c r="AF44" s="414"/>
      <c r="AG44" s="414"/>
      <c r="AH44" s="414"/>
      <c r="AI44" s="414"/>
      <c r="AJ44" s="414"/>
      <c r="AK44" s="806">
        <v>17</v>
      </c>
      <c r="AL44" s="806"/>
      <c r="AM44" s="806"/>
      <c r="AN44" s="806"/>
      <c r="AO44" s="806"/>
      <c r="AP44" s="806">
        <v>43</v>
      </c>
      <c r="AQ44" s="806"/>
      <c r="AR44" s="806"/>
      <c r="AS44" s="806"/>
      <c r="AT44" s="806"/>
      <c r="AU44" s="414">
        <f>SUM(BA44:BJ44)</f>
        <v>14</v>
      </c>
      <c r="AV44" s="414"/>
      <c r="AW44" s="414"/>
      <c r="AX44" s="414"/>
      <c r="AY44" s="414"/>
      <c r="AZ44" s="414"/>
      <c r="BA44" s="806">
        <v>11</v>
      </c>
      <c r="BB44" s="806"/>
      <c r="BC44" s="806"/>
      <c r="BD44" s="806"/>
      <c r="BE44" s="806"/>
      <c r="BF44" s="806">
        <v>3</v>
      </c>
      <c r="BG44" s="806"/>
      <c r="BH44" s="806"/>
      <c r="BI44" s="806"/>
      <c r="BJ44" s="806"/>
    </row>
    <row r="45" spans="3:62" ht="12" customHeight="1">
      <c r="C45" s="629" t="s">
        <v>578</v>
      </c>
      <c r="D45" s="629"/>
      <c r="E45" s="629"/>
      <c r="F45" s="629"/>
      <c r="G45" s="629"/>
      <c r="H45" s="629"/>
      <c r="I45" s="629"/>
      <c r="J45" s="629"/>
      <c r="K45" s="629"/>
      <c r="L45" s="629"/>
      <c r="M45" s="629"/>
      <c r="N45" s="311"/>
      <c r="O45" s="402">
        <f>SUM(U45:AD45)</f>
        <v>90</v>
      </c>
      <c r="P45" s="402"/>
      <c r="Q45" s="402"/>
      <c r="R45" s="402"/>
      <c r="S45" s="402"/>
      <c r="T45" s="402"/>
      <c r="U45" s="806">
        <v>34</v>
      </c>
      <c r="V45" s="806"/>
      <c r="W45" s="806"/>
      <c r="X45" s="806"/>
      <c r="Y45" s="806"/>
      <c r="Z45" s="806">
        <v>56</v>
      </c>
      <c r="AA45" s="806"/>
      <c r="AB45" s="806"/>
      <c r="AC45" s="806"/>
      <c r="AD45" s="806"/>
      <c r="AE45" s="414">
        <f>SUM(AK45:AT45)</f>
        <v>89</v>
      </c>
      <c r="AF45" s="414"/>
      <c r="AG45" s="414"/>
      <c r="AH45" s="414"/>
      <c r="AI45" s="414"/>
      <c r="AJ45" s="414"/>
      <c r="AK45" s="806">
        <f>9+10+14</f>
        <v>33</v>
      </c>
      <c r="AL45" s="806"/>
      <c r="AM45" s="806"/>
      <c r="AN45" s="806"/>
      <c r="AO45" s="806"/>
      <c r="AP45" s="806">
        <f>18+20+18</f>
        <v>56</v>
      </c>
      <c r="AQ45" s="806"/>
      <c r="AR45" s="806"/>
      <c r="AS45" s="806"/>
      <c r="AT45" s="806"/>
      <c r="AU45" s="414">
        <f>SUM(BA45:BJ45)</f>
        <v>23</v>
      </c>
      <c r="AV45" s="414"/>
      <c r="AW45" s="414"/>
      <c r="AX45" s="414"/>
      <c r="AY45" s="414"/>
      <c r="AZ45" s="414"/>
      <c r="BA45" s="806">
        <v>21</v>
      </c>
      <c r="BB45" s="806"/>
      <c r="BC45" s="806"/>
      <c r="BD45" s="806"/>
      <c r="BE45" s="806"/>
      <c r="BF45" s="806">
        <v>2</v>
      </c>
      <c r="BG45" s="806"/>
      <c r="BH45" s="806"/>
      <c r="BI45" s="806"/>
      <c r="BJ45" s="806"/>
    </row>
    <row r="46" spans="3:62" ht="12" customHeight="1">
      <c r="C46" s="629" t="s">
        <v>577</v>
      </c>
      <c r="D46" s="629"/>
      <c r="E46" s="629"/>
      <c r="F46" s="629"/>
      <c r="G46" s="629"/>
      <c r="H46" s="629"/>
      <c r="I46" s="629"/>
      <c r="J46" s="629"/>
      <c r="K46" s="629"/>
      <c r="L46" s="629"/>
      <c r="M46" s="629"/>
      <c r="N46" s="311"/>
      <c r="O46" s="402">
        <f>SUM(U46:AD46)</f>
        <v>134</v>
      </c>
      <c r="P46" s="402"/>
      <c r="Q46" s="402"/>
      <c r="R46" s="402"/>
      <c r="S46" s="402"/>
      <c r="T46" s="402"/>
      <c r="U46" s="806">
        <v>44</v>
      </c>
      <c r="V46" s="806"/>
      <c r="W46" s="806"/>
      <c r="X46" s="806"/>
      <c r="Y46" s="806"/>
      <c r="Z46" s="806">
        <v>90</v>
      </c>
      <c r="AA46" s="806"/>
      <c r="AB46" s="806"/>
      <c r="AC46" s="806"/>
      <c r="AD46" s="806"/>
      <c r="AE46" s="414">
        <f>SUM(AK46:AT46)</f>
        <v>134</v>
      </c>
      <c r="AF46" s="414"/>
      <c r="AG46" s="414"/>
      <c r="AH46" s="414"/>
      <c r="AI46" s="414"/>
      <c r="AJ46" s="414"/>
      <c r="AK46" s="806">
        <v>44</v>
      </c>
      <c r="AL46" s="806"/>
      <c r="AM46" s="806"/>
      <c r="AN46" s="806"/>
      <c r="AO46" s="806"/>
      <c r="AP46" s="806">
        <v>90</v>
      </c>
      <c r="AQ46" s="806"/>
      <c r="AR46" s="806"/>
      <c r="AS46" s="806"/>
      <c r="AT46" s="806"/>
      <c r="AU46" s="414">
        <f>SUM(BA46:BJ46)</f>
        <v>33</v>
      </c>
      <c r="AV46" s="414"/>
      <c r="AW46" s="414"/>
      <c r="AX46" s="414"/>
      <c r="AY46" s="414"/>
      <c r="AZ46" s="414"/>
      <c r="BA46" s="806">
        <v>21</v>
      </c>
      <c r="BB46" s="806"/>
      <c r="BC46" s="806"/>
      <c r="BD46" s="806"/>
      <c r="BE46" s="806"/>
      <c r="BF46" s="806">
        <v>12</v>
      </c>
      <c r="BG46" s="806"/>
      <c r="BH46" s="806"/>
      <c r="BI46" s="806"/>
      <c r="BJ46" s="806"/>
    </row>
    <row r="47" spans="3:62" ht="12" customHeight="1">
      <c r="C47" s="629" t="s">
        <v>576</v>
      </c>
      <c r="D47" s="629"/>
      <c r="E47" s="629"/>
      <c r="F47" s="629"/>
      <c r="G47" s="629"/>
      <c r="H47" s="629"/>
      <c r="I47" s="629"/>
      <c r="J47" s="629"/>
      <c r="K47" s="629"/>
      <c r="L47" s="629"/>
      <c r="M47" s="629"/>
      <c r="N47" s="311"/>
      <c r="O47" s="402">
        <f>SUM(U47:AD47)</f>
        <v>100</v>
      </c>
      <c r="P47" s="402"/>
      <c r="Q47" s="402"/>
      <c r="R47" s="402"/>
      <c r="S47" s="402"/>
      <c r="T47" s="402"/>
      <c r="U47" s="806">
        <v>39</v>
      </c>
      <c r="V47" s="806"/>
      <c r="W47" s="806"/>
      <c r="X47" s="806"/>
      <c r="Y47" s="806"/>
      <c r="Z47" s="806">
        <v>61</v>
      </c>
      <c r="AA47" s="806"/>
      <c r="AB47" s="806"/>
      <c r="AC47" s="806"/>
      <c r="AD47" s="806"/>
      <c r="AE47" s="414">
        <f>SUM(AK47:AT47)</f>
        <v>111</v>
      </c>
      <c r="AF47" s="414"/>
      <c r="AG47" s="414"/>
      <c r="AH47" s="414"/>
      <c r="AI47" s="414"/>
      <c r="AJ47" s="414"/>
      <c r="AK47" s="806">
        <f>9+14+16</f>
        <v>39</v>
      </c>
      <c r="AL47" s="806"/>
      <c r="AM47" s="806"/>
      <c r="AN47" s="806"/>
      <c r="AO47" s="806"/>
      <c r="AP47" s="806">
        <f>24+25+23</f>
        <v>72</v>
      </c>
      <c r="AQ47" s="806"/>
      <c r="AR47" s="806"/>
      <c r="AS47" s="806"/>
      <c r="AT47" s="806"/>
      <c r="AU47" s="414">
        <f>SUM(BA47:BJ47)</f>
        <v>41</v>
      </c>
      <c r="AV47" s="414"/>
      <c r="AW47" s="414"/>
      <c r="AX47" s="414"/>
      <c r="AY47" s="414"/>
      <c r="AZ47" s="414"/>
      <c r="BA47" s="806">
        <v>32</v>
      </c>
      <c r="BB47" s="806"/>
      <c r="BC47" s="806"/>
      <c r="BD47" s="806"/>
      <c r="BE47" s="806"/>
      <c r="BF47" s="806">
        <v>9</v>
      </c>
      <c r="BG47" s="806"/>
      <c r="BH47" s="806"/>
      <c r="BI47" s="806"/>
      <c r="BJ47" s="806"/>
    </row>
    <row r="48" spans="3:62" ht="12" customHeight="1">
      <c r="C48" s="629" t="s">
        <v>575</v>
      </c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311"/>
      <c r="O48" s="402">
        <f>SUM(U48:AD48)</f>
        <v>29</v>
      </c>
      <c r="P48" s="402"/>
      <c r="Q48" s="402"/>
      <c r="R48" s="402"/>
      <c r="S48" s="402"/>
      <c r="T48" s="402"/>
      <c r="U48" s="806">
        <v>29</v>
      </c>
      <c r="V48" s="806"/>
      <c r="W48" s="806"/>
      <c r="X48" s="806"/>
      <c r="Y48" s="806"/>
      <c r="Z48" s="414">
        <v>0</v>
      </c>
      <c r="AA48" s="414"/>
      <c r="AB48" s="414"/>
      <c r="AC48" s="414"/>
      <c r="AD48" s="414"/>
      <c r="AE48" s="414">
        <f>SUM(AK48:AT48)</f>
        <v>29</v>
      </c>
      <c r="AF48" s="414"/>
      <c r="AG48" s="414"/>
      <c r="AH48" s="414"/>
      <c r="AI48" s="414"/>
      <c r="AJ48" s="414"/>
      <c r="AK48" s="806">
        <v>29</v>
      </c>
      <c r="AL48" s="806"/>
      <c r="AM48" s="806"/>
      <c r="AN48" s="806"/>
      <c r="AO48" s="806"/>
      <c r="AP48" s="414">
        <v>0</v>
      </c>
      <c r="AQ48" s="414"/>
      <c r="AR48" s="414"/>
      <c r="AS48" s="414"/>
      <c r="AT48" s="414"/>
      <c r="AU48" s="414">
        <f>SUM(BA48:BJ48)</f>
        <v>0</v>
      </c>
      <c r="AV48" s="414"/>
      <c r="AW48" s="414"/>
      <c r="AX48" s="414"/>
      <c r="AY48" s="414"/>
      <c r="AZ48" s="414"/>
      <c r="BA48" s="806">
        <v>0</v>
      </c>
      <c r="BB48" s="806"/>
      <c r="BC48" s="806"/>
      <c r="BD48" s="806"/>
      <c r="BE48" s="806"/>
      <c r="BF48" s="806">
        <v>0</v>
      </c>
      <c r="BG48" s="806"/>
      <c r="BH48" s="806"/>
      <c r="BI48" s="806"/>
      <c r="BJ48" s="806"/>
    </row>
    <row r="49" spans="3:62" ht="6" customHeight="1"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1"/>
      <c r="O49" s="301"/>
      <c r="P49" s="301"/>
      <c r="Q49" s="301"/>
      <c r="R49" s="301"/>
      <c r="S49" s="301"/>
      <c r="T49" s="301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03"/>
      <c r="BG49" s="303"/>
      <c r="BH49" s="303"/>
      <c r="BI49" s="303"/>
      <c r="BJ49" s="303"/>
    </row>
    <row r="50" spans="3:62" ht="12" customHeight="1">
      <c r="C50" s="629" t="s">
        <v>574</v>
      </c>
      <c r="D50" s="629"/>
      <c r="E50" s="629"/>
      <c r="F50" s="629"/>
      <c r="G50" s="629"/>
      <c r="H50" s="629"/>
      <c r="I50" s="629"/>
      <c r="J50" s="629"/>
      <c r="K50" s="629"/>
      <c r="L50" s="629"/>
      <c r="M50" s="629"/>
      <c r="N50" s="311"/>
      <c r="O50" s="402">
        <f>SUM(U50:AD50)</f>
        <v>89</v>
      </c>
      <c r="P50" s="402"/>
      <c r="Q50" s="402"/>
      <c r="R50" s="402"/>
      <c r="S50" s="402"/>
      <c r="T50" s="402"/>
      <c r="U50" s="806">
        <v>38</v>
      </c>
      <c r="V50" s="806"/>
      <c r="W50" s="806"/>
      <c r="X50" s="806"/>
      <c r="Y50" s="806"/>
      <c r="Z50" s="806">
        <v>51</v>
      </c>
      <c r="AA50" s="806"/>
      <c r="AB50" s="806"/>
      <c r="AC50" s="806"/>
      <c r="AD50" s="806"/>
      <c r="AE50" s="414">
        <f>SUM(AK50:AT50)</f>
        <v>86</v>
      </c>
      <c r="AF50" s="414"/>
      <c r="AG50" s="414"/>
      <c r="AH50" s="414"/>
      <c r="AI50" s="414"/>
      <c r="AJ50" s="414"/>
      <c r="AK50" s="806">
        <f>6+15+17</f>
        <v>38</v>
      </c>
      <c r="AL50" s="806"/>
      <c r="AM50" s="806"/>
      <c r="AN50" s="806"/>
      <c r="AO50" s="806"/>
      <c r="AP50" s="806">
        <f>17+17+14</f>
        <v>48</v>
      </c>
      <c r="AQ50" s="806"/>
      <c r="AR50" s="806"/>
      <c r="AS50" s="806"/>
      <c r="AT50" s="806"/>
      <c r="AU50" s="414">
        <f>SUM(BA50:BJ50)</f>
        <v>21</v>
      </c>
      <c r="AV50" s="414"/>
      <c r="AW50" s="414"/>
      <c r="AX50" s="414"/>
      <c r="AY50" s="414"/>
      <c r="AZ50" s="414"/>
      <c r="BA50" s="806">
        <v>16</v>
      </c>
      <c r="BB50" s="806"/>
      <c r="BC50" s="806"/>
      <c r="BD50" s="806"/>
      <c r="BE50" s="806"/>
      <c r="BF50" s="806">
        <v>5</v>
      </c>
      <c r="BG50" s="806"/>
      <c r="BH50" s="806"/>
      <c r="BI50" s="806"/>
      <c r="BJ50" s="806"/>
    </row>
    <row r="51" spans="3:62" ht="12" customHeight="1">
      <c r="C51" s="629" t="s">
        <v>573</v>
      </c>
      <c r="D51" s="629"/>
      <c r="E51" s="629"/>
      <c r="F51" s="629"/>
      <c r="G51" s="629"/>
      <c r="H51" s="629"/>
      <c r="I51" s="629"/>
      <c r="J51" s="629"/>
      <c r="K51" s="629"/>
      <c r="L51" s="629"/>
      <c r="M51" s="629"/>
      <c r="N51" s="311"/>
      <c r="O51" s="402">
        <f>SUM(U51:AD51)</f>
        <v>125</v>
      </c>
      <c r="P51" s="402"/>
      <c r="Q51" s="402"/>
      <c r="R51" s="402"/>
      <c r="S51" s="402"/>
      <c r="T51" s="402"/>
      <c r="U51" s="806">
        <v>47</v>
      </c>
      <c r="V51" s="806"/>
      <c r="W51" s="806"/>
      <c r="X51" s="806"/>
      <c r="Y51" s="806"/>
      <c r="Z51" s="806">
        <v>78</v>
      </c>
      <c r="AA51" s="806"/>
      <c r="AB51" s="806"/>
      <c r="AC51" s="806"/>
      <c r="AD51" s="806"/>
      <c r="AE51" s="414">
        <f>SUM(AK51:AT51)</f>
        <v>124</v>
      </c>
      <c r="AF51" s="414"/>
      <c r="AG51" s="414"/>
      <c r="AH51" s="414"/>
      <c r="AI51" s="414"/>
      <c r="AJ51" s="414"/>
      <c r="AK51" s="806">
        <f>9+18+20</f>
        <v>47</v>
      </c>
      <c r="AL51" s="806"/>
      <c r="AM51" s="806"/>
      <c r="AN51" s="806"/>
      <c r="AO51" s="806"/>
      <c r="AP51" s="806">
        <f>26+26+25</f>
        <v>77</v>
      </c>
      <c r="AQ51" s="806"/>
      <c r="AR51" s="806"/>
      <c r="AS51" s="806"/>
      <c r="AT51" s="806"/>
      <c r="AU51" s="414">
        <f>SUM(BA51:BJ51)</f>
        <v>54</v>
      </c>
      <c r="AV51" s="414"/>
      <c r="AW51" s="414"/>
      <c r="AX51" s="414"/>
      <c r="AY51" s="414"/>
      <c r="AZ51" s="414"/>
      <c r="BA51" s="806">
        <v>40</v>
      </c>
      <c r="BB51" s="806"/>
      <c r="BC51" s="806"/>
      <c r="BD51" s="806"/>
      <c r="BE51" s="806"/>
      <c r="BF51" s="806">
        <v>14</v>
      </c>
      <c r="BG51" s="806"/>
      <c r="BH51" s="806"/>
      <c r="BI51" s="806"/>
      <c r="BJ51" s="806"/>
    </row>
    <row r="52" spans="3:62" ht="12" customHeight="1">
      <c r="C52" s="629" t="s">
        <v>572</v>
      </c>
      <c r="D52" s="629"/>
      <c r="E52" s="629"/>
      <c r="F52" s="629"/>
      <c r="G52" s="629"/>
      <c r="H52" s="629"/>
      <c r="I52" s="629"/>
      <c r="J52" s="629"/>
      <c r="K52" s="629"/>
      <c r="L52" s="629"/>
      <c r="M52" s="629"/>
      <c r="N52" s="311"/>
      <c r="O52" s="402">
        <f>SUM(U52:AD52)</f>
        <v>29</v>
      </c>
      <c r="P52" s="402"/>
      <c r="Q52" s="402"/>
      <c r="R52" s="402"/>
      <c r="S52" s="402"/>
      <c r="T52" s="402"/>
      <c r="U52" s="806">
        <v>29</v>
      </c>
      <c r="V52" s="806"/>
      <c r="W52" s="806"/>
      <c r="X52" s="806"/>
      <c r="Y52" s="806"/>
      <c r="Z52" s="414">
        <v>0</v>
      </c>
      <c r="AA52" s="414"/>
      <c r="AB52" s="414"/>
      <c r="AC52" s="414"/>
      <c r="AD52" s="414"/>
      <c r="AE52" s="414">
        <f>SUM(AK52:AT52)</f>
        <v>28</v>
      </c>
      <c r="AF52" s="414"/>
      <c r="AG52" s="414"/>
      <c r="AH52" s="414"/>
      <c r="AI52" s="414"/>
      <c r="AJ52" s="414"/>
      <c r="AK52" s="806">
        <v>28</v>
      </c>
      <c r="AL52" s="806"/>
      <c r="AM52" s="806"/>
      <c r="AN52" s="806"/>
      <c r="AO52" s="806"/>
      <c r="AP52" s="414">
        <v>0</v>
      </c>
      <c r="AQ52" s="414"/>
      <c r="AR52" s="414"/>
      <c r="AS52" s="414"/>
      <c r="AT52" s="414"/>
      <c r="AU52" s="414">
        <f>SUM(BA52:BJ52)</f>
        <v>0</v>
      </c>
      <c r="AV52" s="414"/>
      <c r="AW52" s="414"/>
      <c r="AX52" s="414"/>
      <c r="AY52" s="414"/>
      <c r="AZ52" s="414"/>
      <c r="BA52" s="806">
        <v>0</v>
      </c>
      <c r="BB52" s="806"/>
      <c r="BC52" s="806"/>
      <c r="BD52" s="806"/>
      <c r="BE52" s="806"/>
      <c r="BF52" s="806">
        <v>0</v>
      </c>
      <c r="BG52" s="806"/>
      <c r="BH52" s="806"/>
      <c r="BI52" s="806"/>
      <c r="BJ52" s="806"/>
    </row>
    <row r="53" spans="3:62" ht="12" customHeight="1">
      <c r="C53" s="629" t="s">
        <v>571</v>
      </c>
      <c r="D53" s="629"/>
      <c r="E53" s="629"/>
      <c r="F53" s="629"/>
      <c r="G53" s="629"/>
      <c r="H53" s="629"/>
      <c r="I53" s="629"/>
      <c r="J53" s="629"/>
      <c r="K53" s="629"/>
      <c r="L53" s="629"/>
      <c r="M53" s="629"/>
      <c r="N53" s="311"/>
      <c r="O53" s="402">
        <f>SUM(U53:AD53)</f>
        <v>39</v>
      </c>
      <c r="P53" s="402"/>
      <c r="Q53" s="402"/>
      <c r="R53" s="402"/>
      <c r="S53" s="402"/>
      <c r="T53" s="402"/>
      <c r="U53" s="806">
        <v>18</v>
      </c>
      <c r="V53" s="806"/>
      <c r="W53" s="806"/>
      <c r="X53" s="806"/>
      <c r="Y53" s="806"/>
      <c r="Z53" s="806">
        <v>21</v>
      </c>
      <c r="AA53" s="806"/>
      <c r="AB53" s="806"/>
      <c r="AC53" s="806"/>
      <c r="AD53" s="806"/>
      <c r="AE53" s="414">
        <f>SUM(AK53:AT53)</f>
        <v>38</v>
      </c>
      <c r="AF53" s="414"/>
      <c r="AG53" s="414"/>
      <c r="AH53" s="414"/>
      <c r="AI53" s="414"/>
      <c r="AJ53" s="414"/>
      <c r="AK53" s="806">
        <f>6*3</f>
        <v>18</v>
      </c>
      <c r="AL53" s="806"/>
      <c r="AM53" s="806"/>
      <c r="AN53" s="806"/>
      <c r="AO53" s="806"/>
      <c r="AP53" s="806">
        <f>7+7+6</f>
        <v>20</v>
      </c>
      <c r="AQ53" s="806"/>
      <c r="AR53" s="806"/>
      <c r="AS53" s="806"/>
      <c r="AT53" s="806"/>
      <c r="AU53" s="414">
        <f>SUM(BA53:BJ53)</f>
        <v>19</v>
      </c>
      <c r="AV53" s="414"/>
      <c r="AW53" s="414"/>
      <c r="AX53" s="414"/>
      <c r="AY53" s="414"/>
      <c r="AZ53" s="414"/>
      <c r="BA53" s="806">
        <v>15</v>
      </c>
      <c r="BB53" s="806"/>
      <c r="BC53" s="806"/>
      <c r="BD53" s="806"/>
      <c r="BE53" s="806"/>
      <c r="BF53" s="414">
        <v>4</v>
      </c>
      <c r="BG53" s="414"/>
      <c r="BH53" s="414"/>
      <c r="BI53" s="414"/>
      <c r="BJ53" s="414"/>
    </row>
    <row r="54" spans="3:62" ht="12" customHeight="1">
      <c r="C54" s="816" t="s">
        <v>570</v>
      </c>
      <c r="D54" s="629"/>
      <c r="E54" s="629"/>
      <c r="F54" s="629"/>
      <c r="G54" s="629"/>
      <c r="H54" s="629"/>
      <c r="I54" s="629"/>
      <c r="J54" s="629"/>
      <c r="K54" s="629"/>
      <c r="L54" s="629"/>
      <c r="M54" s="629"/>
      <c r="N54" s="311"/>
      <c r="O54" s="402">
        <f>SUM(U54:AD54)</f>
        <v>131</v>
      </c>
      <c r="P54" s="402"/>
      <c r="Q54" s="402"/>
      <c r="R54" s="402"/>
      <c r="S54" s="402"/>
      <c r="T54" s="402"/>
      <c r="U54" s="806">
        <v>59</v>
      </c>
      <c r="V54" s="806"/>
      <c r="W54" s="806"/>
      <c r="X54" s="806"/>
      <c r="Y54" s="806"/>
      <c r="Z54" s="806">
        <v>72</v>
      </c>
      <c r="AA54" s="806"/>
      <c r="AB54" s="806"/>
      <c r="AC54" s="806"/>
      <c r="AD54" s="806"/>
      <c r="AE54" s="414">
        <f>SUM(AK54:AT54)</f>
        <v>131</v>
      </c>
      <c r="AF54" s="414"/>
      <c r="AG54" s="414"/>
      <c r="AH54" s="414"/>
      <c r="AI54" s="414"/>
      <c r="AJ54" s="414"/>
      <c r="AK54" s="806">
        <v>59</v>
      </c>
      <c r="AL54" s="806"/>
      <c r="AM54" s="806"/>
      <c r="AN54" s="806"/>
      <c r="AO54" s="806"/>
      <c r="AP54" s="806">
        <v>72</v>
      </c>
      <c r="AQ54" s="806"/>
      <c r="AR54" s="806"/>
      <c r="AS54" s="806"/>
      <c r="AT54" s="806"/>
      <c r="AU54" s="414">
        <f>SUM(BA54:BJ54)</f>
        <v>23</v>
      </c>
      <c r="AV54" s="414"/>
      <c r="AW54" s="414"/>
      <c r="AX54" s="414"/>
      <c r="AY54" s="414"/>
      <c r="AZ54" s="414"/>
      <c r="BA54" s="806">
        <v>22</v>
      </c>
      <c r="BB54" s="498"/>
      <c r="BC54" s="498"/>
      <c r="BD54" s="498"/>
      <c r="BE54" s="498"/>
      <c r="BF54" s="414">
        <v>1</v>
      </c>
      <c r="BG54" s="498"/>
      <c r="BH54" s="498"/>
      <c r="BI54" s="498"/>
      <c r="BJ54" s="498"/>
    </row>
    <row r="55" spans="3:62" ht="6" customHeight="1"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0"/>
      <c r="O55" s="303"/>
      <c r="P55" s="303"/>
      <c r="Q55" s="303"/>
      <c r="R55" s="303"/>
      <c r="S55" s="303"/>
      <c r="T55" s="303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03"/>
      <c r="AF55" s="303"/>
      <c r="AG55" s="303"/>
      <c r="AH55" s="303"/>
      <c r="AI55" s="303"/>
      <c r="AJ55" s="303"/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03"/>
      <c r="AV55" s="303"/>
      <c r="AW55" s="303"/>
      <c r="AX55" s="303"/>
      <c r="AY55" s="303"/>
      <c r="AZ55" s="303"/>
      <c r="BA55" s="330"/>
      <c r="BB55" s="308"/>
      <c r="BC55" s="308"/>
      <c r="BD55" s="308"/>
      <c r="BE55" s="308"/>
      <c r="BF55" s="303"/>
      <c r="BG55" s="308"/>
      <c r="BH55" s="308"/>
      <c r="BI55" s="308"/>
      <c r="BJ55" s="308"/>
    </row>
    <row r="56" spans="3:62" ht="20.100000000000001" customHeight="1">
      <c r="C56" s="815" t="s">
        <v>569</v>
      </c>
      <c r="D56" s="815"/>
      <c r="E56" s="815"/>
      <c r="F56" s="815"/>
      <c r="G56" s="815"/>
      <c r="H56" s="815"/>
      <c r="I56" s="815"/>
      <c r="J56" s="815"/>
      <c r="K56" s="815"/>
      <c r="L56" s="815"/>
      <c r="M56" s="815"/>
      <c r="N56" s="311"/>
      <c r="O56" s="402">
        <f>SUM(U56:AD56)</f>
        <v>67</v>
      </c>
      <c r="P56" s="402"/>
      <c r="Q56" s="402"/>
      <c r="R56" s="402"/>
      <c r="S56" s="402"/>
      <c r="T56" s="402"/>
      <c r="U56" s="806">
        <v>28</v>
      </c>
      <c r="V56" s="806"/>
      <c r="W56" s="806"/>
      <c r="X56" s="806"/>
      <c r="Y56" s="806"/>
      <c r="Z56" s="806">
        <v>39</v>
      </c>
      <c r="AA56" s="806"/>
      <c r="AB56" s="806"/>
      <c r="AC56" s="806"/>
      <c r="AD56" s="806"/>
      <c r="AE56" s="414">
        <f>SUM(AK56:AT56)</f>
        <v>67</v>
      </c>
      <c r="AF56" s="414"/>
      <c r="AG56" s="414"/>
      <c r="AH56" s="414"/>
      <c r="AI56" s="414"/>
      <c r="AJ56" s="414"/>
      <c r="AK56" s="806">
        <v>28</v>
      </c>
      <c r="AL56" s="806"/>
      <c r="AM56" s="806"/>
      <c r="AN56" s="806"/>
      <c r="AO56" s="806"/>
      <c r="AP56" s="806">
        <v>39</v>
      </c>
      <c r="AQ56" s="806"/>
      <c r="AR56" s="806"/>
      <c r="AS56" s="806"/>
      <c r="AT56" s="806"/>
      <c r="AU56" s="414">
        <f>SUM(BA56:BJ56)</f>
        <v>19</v>
      </c>
      <c r="AV56" s="414"/>
      <c r="AW56" s="414"/>
      <c r="AX56" s="414"/>
      <c r="AY56" s="414"/>
      <c r="AZ56" s="414"/>
      <c r="BA56" s="806">
        <v>13</v>
      </c>
      <c r="BB56" s="806"/>
      <c r="BC56" s="806"/>
      <c r="BD56" s="806"/>
      <c r="BE56" s="806"/>
      <c r="BF56" s="414">
        <v>6</v>
      </c>
      <c r="BG56" s="414"/>
      <c r="BH56" s="414"/>
      <c r="BI56" s="414"/>
      <c r="BJ56" s="414"/>
    </row>
    <row r="57" spans="3:62" ht="12" customHeight="1">
      <c r="C57" s="629" t="s">
        <v>568</v>
      </c>
      <c r="D57" s="629"/>
      <c r="E57" s="629"/>
      <c r="F57" s="629"/>
      <c r="G57" s="629"/>
      <c r="H57" s="629"/>
      <c r="I57" s="629"/>
      <c r="J57" s="629"/>
      <c r="K57" s="629"/>
      <c r="L57" s="629"/>
      <c r="M57" s="629"/>
      <c r="N57" s="311"/>
      <c r="O57" s="402">
        <f>SUM(U57:AD57)</f>
        <v>99</v>
      </c>
      <c r="P57" s="402"/>
      <c r="Q57" s="402"/>
      <c r="R57" s="402"/>
      <c r="S57" s="402"/>
      <c r="T57" s="402"/>
      <c r="U57" s="806">
        <v>39</v>
      </c>
      <c r="V57" s="806"/>
      <c r="W57" s="806"/>
      <c r="X57" s="806"/>
      <c r="Y57" s="806"/>
      <c r="Z57" s="806">
        <v>60</v>
      </c>
      <c r="AA57" s="806"/>
      <c r="AB57" s="806"/>
      <c r="AC57" s="806"/>
      <c r="AD57" s="806"/>
      <c r="AE57" s="414">
        <f>SUM(AK57:AT57)</f>
        <v>98</v>
      </c>
      <c r="AF57" s="414"/>
      <c r="AG57" s="414"/>
      <c r="AH57" s="414"/>
      <c r="AI57" s="414"/>
      <c r="AJ57" s="414"/>
      <c r="AK57" s="806">
        <f>6+15+18</f>
        <v>39</v>
      </c>
      <c r="AL57" s="806"/>
      <c r="AM57" s="806"/>
      <c r="AN57" s="806"/>
      <c r="AO57" s="806"/>
      <c r="AP57" s="806">
        <f>19+20+20</f>
        <v>59</v>
      </c>
      <c r="AQ57" s="806"/>
      <c r="AR57" s="806"/>
      <c r="AS57" s="806"/>
      <c r="AT57" s="806"/>
      <c r="AU57" s="414">
        <f>SUM(BA57:BJ57)</f>
        <v>19</v>
      </c>
      <c r="AV57" s="414"/>
      <c r="AW57" s="414"/>
      <c r="AX57" s="414"/>
      <c r="AY57" s="414"/>
      <c r="AZ57" s="414"/>
      <c r="BA57" s="806">
        <v>15</v>
      </c>
      <c r="BB57" s="806"/>
      <c r="BC57" s="806"/>
      <c r="BD57" s="806"/>
      <c r="BE57" s="806"/>
      <c r="BF57" s="414">
        <v>4</v>
      </c>
      <c r="BG57" s="414"/>
      <c r="BH57" s="414"/>
      <c r="BI57" s="414"/>
      <c r="BJ57" s="414"/>
    </row>
    <row r="58" spans="3:62" ht="12" customHeight="1">
      <c r="C58" s="629" t="s">
        <v>567</v>
      </c>
      <c r="D58" s="629"/>
      <c r="E58" s="629"/>
      <c r="F58" s="629"/>
      <c r="G58" s="629"/>
      <c r="H58" s="629"/>
      <c r="I58" s="629"/>
      <c r="J58" s="629"/>
      <c r="K58" s="629"/>
      <c r="L58" s="629"/>
      <c r="M58" s="629"/>
      <c r="N58" s="311"/>
      <c r="O58" s="402">
        <f>SUM(U58:AD58)</f>
        <v>50</v>
      </c>
      <c r="P58" s="402"/>
      <c r="Q58" s="402"/>
      <c r="R58" s="402"/>
      <c r="S58" s="402"/>
      <c r="T58" s="402"/>
      <c r="U58" s="806">
        <v>21</v>
      </c>
      <c r="V58" s="806"/>
      <c r="W58" s="806"/>
      <c r="X58" s="806"/>
      <c r="Y58" s="806"/>
      <c r="Z58" s="414">
        <v>29</v>
      </c>
      <c r="AA58" s="414"/>
      <c r="AB58" s="414"/>
      <c r="AC58" s="414"/>
      <c r="AD58" s="414"/>
      <c r="AE58" s="414">
        <f>SUM(AK58:AT58)</f>
        <v>43</v>
      </c>
      <c r="AF58" s="414"/>
      <c r="AG58" s="414"/>
      <c r="AH58" s="414"/>
      <c r="AI58" s="414"/>
      <c r="AJ58" s="414"/>
      <c r="AK58" s="806">
        <f>6+7+8</f>
        <v>21</v>
      </c>
      <c r="AL58" s="806"/>
      <c r="AM58" s="806"/>
      <c r="AN58" s="806"/>
      <c r="AO58" s="806"/>
      <c r="AP58" s="414">
        <f>8+9+5</f>
        <v>22</v>
      </c>
      <c r="AQ58" s="414"/>
      <c r="AR58" s="414"/>
      <c r="AS58" s="414"/>
      <c r="AT58" s="414"/>
      <c r="AU58" s="414">
        <f>SUM(BA58:BJ58)</f>
        <v>12</v>
      </c>
      <c r="AV58" s="414"/>
      <c r="AW58" s="414"/>
      <c r="AX58" s="414"/>
      <c r="AY58" s="414"/>
      <c r="AZ58" s="414"/>
      <c r="BA58" s="806">
        <v>11</v>
      </c>
      <c r="BB58" s="806"/>
      <c r="BC58" s="806"/>
      <c r="BD58" s="806"/>
      <c r="BE58" s="806"/>
      <c r="BF58" s="414">
        <v>1</v>
      </c>
      <c r="BG58" s="414"/>
      <c r="BH58" s="414"/>
      <c r="BI58" s="414"/>
      <c r="BJ58" s="414"/>
    </row>
    <row r="59" spans="3:62" ht="12" customHeight="1">
      <c r="C59" s="629" t="s">
        <v>566</v>
      </c>
      <c r="D59" s="629"/>
      <c r="E59" s="629"/>
      <c r="F59" s="629"/>
      <c r="G59" s="629"/>
      <c r="H59" s="629"/>
      <c r="I59" s="629"/>
      <c r="J59" s="629"/>
      <c r="K59" s="629"/>
      <c r="L59" s="629"/>
      <c r="M59" s="629"/>
      <c r="N59" s="331"/>
      <c r="O59" s="402">
        <f>SUM(U59:AD59)</f>
        <v>76</v>
      </c>
      <c r="P59" s="402"/>
      <c r="Q59" s="402"/>
      <c r="R59" s="402"/>
      <c r="S59" s="402"/>
      <c r="T59" s="402"/>
      <c r="U59" s="806">
        <v>31</v>
      </c>
      <c r="V59" s="806"/>
      <c r="W59" s="806"/>
      <c r="X59" s="806"/>
      <c r="Y59" s="806"/>
      <c r="Z59" s="414">
        <v>45</v>
      </c>
      <c r="AA59" s="414"/>
      <c r="AB59" s="414"/>
      <c r="AC59" s="414"/>
      <c r="AD59" s="414"/>
      <c r="AE59" s="414">
        <f>SUM(AK59:AT59)</f>
        <v>75</v>
      </c>
      <c r="AF59" s="414"/>
      <c r="AG59" s="414"/>
      <c r="AH59" s="414"/>
      <c r="AI59" s="414"/>
      <c r="AJ59" s="414"/>
      <c r="AK59" s="806">
        <f>6+10+15</f>
        <v>31</v>
      </c>
      <c r="AL59" s="806"/>
      <c r="AM59" s="806"/>
      <c r="AN59" s="806"/>
      <c r="AO59" s="806"/>
      <c r="AP59" s="414">
        <f>15+15+14</f>
        <v>44</v>
      </c>
      <c r="AQ59" s="414"/>
      <c r="AR59" s="414"/>
      <c r="AS59" s="414"/>
      <c r="AT59" s="414"/>
      <c r="AU59" s="414">
        <f>SUM(BA59:BJ59)</f>
        <v>17</v>
      </c>
      <c r="AV59" s="414"/>
      <c r="AW59" s="414"/>
      <c r="AX59" s="414"/>
      <c r="AY59" s="414"/>
      <c r="AZ59" s="414"/>
      <c r="BA59" s="806">
        <v>16</v>
      </c>
      <c r="BB59" s="806"/>
      <c r="BC59" s="806"/>
      <c r="BD59" s="806"/>
      <c r="BE59" s="806"/>
      <c r="BF59" s="414">
        <v>1</v>
      </c>
      <c r="BG59" s="414"/>
      <c r="BH59" s="414"/>
      <c r="BI59" s="414"/>
      <c r="BJ59" s="414"/>
    </row>
    <row r="60" spans="3:62" ht="12" customHeight="1">
      <c r="C60" s="629" t="s">
        <v>565</v>
      </c>
      <c r="D60" s="629"/>
      <c r="E60" s="629"/>
      <c r="F60" s="629"/>
      <c r="G60" s="629"/>
      <c r="H60" s="629"/>
      <c r="I60" s="629"/>
      <c r="J60" s="629"/>
      <c r="K60" s="629"/>
      <c r="L60" s="629"/>
      <c r="M60" s="629"/>
      <c r="N60" s="331"/>
      <c r="O60" s="402">
        <f>SUM(U60:AD60)</f>
        <v>114</v>
      </c>
      <c r="P60" s="402"/>
      <c r="Q60" s="402"/>
      <c r="R60" s="402"/>
      <c r="S60" s="402"/>
      <c r="T60" s="402"/>
      <c r="U60" s="806">
        <v>42</v>
      </c>
      <c r="V60" s="806"/>
      <c r="W60" s="806"/>
      <c r="X60" s="806"/>
      <c r="Y60" s="806"/>
      <c r="Z60" s="414">
        <v>72</v>
      </c>
      <c r="AA60" s="414"/>
      <c r="AB60" s="414"/>
      <c r="AC60" s="414"/>
      <c r="AD60" s="414"/>
      <c r="AE60" s="414">
        <f>SUM(AK60:AT60)</f>
        <v>110</v>
      </c>
      <c r="AF60" s="414"/>
      <c r="AG60" s="414"/>
      <c r="AH60" s="414"/>
      <c r="AI60" s="414"/>
      <c r="AJ60" s="414"/>
      <c r="AK60" s="806">
        <f>6+15+21</f>
        <v>42</v>
      </c>
      <c r="AL60" s="806"/>
      <c r="AM60" s="806"/>
      <c r="AN60" s="806"/>
      <c r="AO60" s="806"/>
      <c r="AP60" s="414">
        <f>24+24+20</f>
        <v>68</v>
      </c>
      <c r="AQ60" s="414"/>
      <c r="AR60" s="414"/>
      <c r="AS60" s="414"/>
      <c r="AT60" s="414"/>
      <c r="AU60" s="414">
        <f>SUM(BA60:BJ60)</f>
        <v>17</v>
      </c>
      <c r="AV60" s="414"/>
      <c r="AW60" s="414"/>
      <c r="AX60" s="414"/>
      <c r="AY60" s="414"/>
      <c r="AZ60" s="414"/>
      <c r="BA60" s="806">
        <v>17</v>
      </c>
      <c r="BB60" s="806"/>
      <c r="BC60" s="806"/>
      <c r="BD60" s="806"/>
      <c r="BE60" s="806"/>
      <c r="BF60" s="414">
        <v>0</v>
      </c>
      <c r="BG60" s="414"/>
      <c r="BH60" s="414"/>
      <c r="BI60" s="414"/>
      <c r="BJ60" s="414"/>
    </row>
    <row r="61" spans="3:62" ht="6" customHeight="1"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31"/>
      <c r="O61" s="333"/>
      <c r="P61" s="333"/>
      <c r="Q61" s="333"/>
      <c r="R61" s="333"/>
      <c r="S61" s="333"/>
      <c r="T61" s="333"/>
      <c r="U61" s="332"/>
      <c r="V61" s="332"/>
      <c r="W61" s="332"/>
      <c r="X61" s="332"/>
      <c r="Y61" s="332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332"/>
      <c r="AL61" s="332"/>
      <c r="AM61" s="332"/>
      <c r="AN61" s="332"/>
      <c r="AO61" s="332"/>
      <c r="AP61" s="332"/>
      <c r="AQ61" s="332"/>
      <c r="AR61" s="332"/>
      <c r="AS61" s="332"/>
      <c r="AT61" s="332"/>
      <c r="AU61" s="332"/>
      <c r="AV61" s="332"/>
      <c r="AW61" s="332"/>
      <c r="AX61" s="332"/>
      <c r="AY61" s="332"/>
      <c r="AZ61" s="332"/>
      <c r="BA61" s="332"/>
      <c r="BB61" s="332"/>
      <c r="BC61" s="332"/>
      <c r="BD61" s="332"/>
      <c r="BE61" s="332"/>
      <c r="BF61" s="332"/>
      <c r="BG61" s="332"/>
      <c r="BH61" s="332"/>
      <c r="BI61" s="332"/>
      <c r="BJ61" s="332"/>
    </row>
    <row r="62" spans="3:62" ht="12" customHeight="1">
      <c r="C62" s="629" t="s">
        <v>564</v>
      </c>
      <c r="D62" s="629"/>
      <c r="E62" s="629"/>
      <c r="F62" s="629"/>
      <c r="G62" s="629"/>
      <c r="H62" s="629"/>
      <c r="I62" s="629"/>
      <c r="J62" s="629"/>
      <c r="K62" s="629"/>
      <c r="L62" s="629"/>
      <c r="M62" s="629"/>
      <c r="N62" s="311"/>
      <c r="O62" s="402">
        <f>SUM(U62:AD62)</f>
        <v>128</v>
      </c>
      <c r="P62" s="402"/>
      <c r="Q62" s="402"/>
      <c r="R62" s="402"/>
      <c r="S62" s="402"/>
      <c r="T62" s="402"/>
      <c r="U62" s="806">
        <v>56</v>
      </c>
      <c r="V62" s="806"/>
      <c r="W62" s="806"/>
      <c r="X62" s="806"/>
      <c r="Y62" s="806"/>
      <c r="Z62" s="806">
        <v>72</v>
      </c>
      <c r="AA62" s="806"/>
      <c r="AB62" s="806"/>
      <c r="AC62" s="806"/>
      <c r="AD62" s="806"/>
      <c r="AE62" s="414">
        <f>SUM(AK62:AT62)</f>
        <v>127</v>
      </c>
      <c r="AF62" s="414"/>
      <c r="AG62" s="414"/>
      <c r="AH62" s="414"/>
      <c r="AI62" s="414"/>
      <c r="AJ62" s="414"/>
      <c r="AK62" s="806">
        <f>12+20+24</f>
        <v>56</v>
      </c>
      <c r="AL62" s="806"/>
      <c r="AM62" s="806"/>
      <c r="AN62" s="806"/>
      <c r="AO62" s="806"/>
      <c r="AP62" s="806">
        <f>24+24+23</f>
        <v>71</v>
      </c>
      <c r="AQ62" s="806"/>
      <c r="AR62" s="806"/>
      <c r="AS62" s="806"/>
      <c r="AT62" s="806"/>
      <c r="AU62" s="414">
        <f>SUM(BA62:BJ62)</f>
        <v>21</v>
      </c>
      <c r="AV62" s="414"/>
      <c r="AW62" s="414"/>
      <c r="AX62" s="414"/>
      <c r="AY62" s="414"/>
      <c r="AZ62" s="414"/>
      <c r="BA62" s="806">
        <v>20</v>
      </c>
      <c r="BB62" s="806"/>
      <c r="BC62" s="806"/>
      <c r="BD62" s="806"/>
      <c r="BE62" s="806"/>
      <c r="BF62" s="414">
        <v>1</v>
      </c>
      <c r="BG62" s="414"/>
      <c r="BH62" s="414"/>
      <c r="BI62" s="414"/>
      <c r="BJ62" s="414"/>
    </row>
    <row r="63" spans="3:62" ht="12" customHeight="1">
      <c r="C63" s="629" t="s">
        <v>563</v>
      </c>
      <c r="D63" s="629"/>
      <c r="E63" s="629"/>
      <c r="F63" s="629"/>
      <c r="G63" s="629"/>
      <c r="H63" s="629"/>
      <c r="I63" s="629"/>
      <c r="J63" s="629"/>
      <c r="K63" s="629"/>
      <c r="L63" s="629"/>
      <c r="M63" s="629"/>
      <c r="N63" s="311"/>
      <c r="O63" s="402">
        <f>SUM(U63:AD63)</f>
        <v>81</v>
      </c>
      <c r="P63" s="402"/>
      <c r="Q63" s="402"/>
      <c r="R63" s="402"/>
      <c r="S63" s="402"/>
      <c r="T63" s="402"/>
      <c r="U63" s="806">
        <v>36</v>
      </c>
      <c r="V63" s="806"/>
      <c r="W63" s="806"/>
      <c r="X63" s="806"/>
      <c r="Y63" s="806"/>
      <c r="Z63" s="806">
        <v>45</v>
      </c>
      <c r="AA63" s="806"/>
      <c r="AB63" s="806"/>
      <c r="AC63" s="806"/>
      <c r="AD63" s="806"/>
      <c r="AE63" s="414">
        <f>SUM(AK63:AT63)</f>
        <v>79</v>
      </c>
      <c r="AF63" s="414"/>
      <c r="AG63" s="414"/>
      <c r="AH63" s="414"/>
      <c r="AI63" s="414"/>
      <c r="AJ63" s="414"/>
      <c r="AK63" s="806">
        <f>6+14+15</f>
        <v>35</v>
      </c>
      <c r="AL63" s="806"/>
      <c r="AM63" s="806"/>
      <c r="AN63" s="806"/>
      <c r="AO63" s="806"/>
      <c r="AP63" s="806">
        <f>15+15+14</f>
        <v>44</v>
      </c>
      <c r="AQ63" s="806"/>
      <c r="AR63" s="806"/>
      <c r="AS63" s="806"/>
      <c r="AT63" s="806"/>
      <c r="AU63" s="414">
        <f>SUM(BA63:BJ63)</f>
        <v>22</v>
      </c>
      <c r="AV63" s="414"/>
      <c r="AW63" s="414"/>
      <c r="AX63" s="414"/>
      <c r="AY63" s="414"/>
      <c r="AZ63" s="414"/>
      <c r="BA63" s="806">
        <v>17</v>
      </c>
      <c r="BB63" s="806"/>
      <c r="BC63" s="806"/>
      <c r="BD63" s="806"/>
      <c r="BE63" s="806"/>
      <c r="BF63" s="414">
        <v>5</v>
      </c>
      <c r="BG63" s="414"/>
      <c r="BH63" s="414"/>
      <c r="BI63" s="414"/>
      <c r="BJ63" s="414"/>
    </row>
    <row r="64" spans="3:62" ht="12" customHeight="1">
      <c r="C64" s="815" t="s">
        <v>562</v>
      </c>
      <c r="D64" s="815"/>
      <c r="E64" s="815"/>
      <c r="F64" s="815"/>
      <c r="G64" s="815"/>
      <c r="H64" s="815"/>
      <c r="I64" s="815"/>
      <c r="J64" s="815"/>
      <c r="K64" s="815"/>
      <c r="L64" s="815"/>
      <c r="M64" s="815"/>
      <c r="N64" s="331"/>
      <c r="O64" s="402">
        <f>SUM(U64:AD64)</f>
        <v>64</v>
      </c>
      <c r="P64" s="402"/>
      <c r="Q64" s="402"/>
      <c r="R64" s="402"/>
      <c r="S64" s="402"/>
      <c r="T64" s="402"/>
      <c r="U64" s="806">
        <v>28</v>
      </c>
      <c r="V64" s="806"/>
      <c r="W64" s="806"/>
      <c r="X64" s="806"/>
      <c r="Y64" s="806"/>
      <c r="Z64" s="414">
        <v>36</v>
      </c>
      <c r="AA64" s="414"/>
      <c r="AB64" s="414"/>
      <c r="AC64" s="414"/>
      <c r="AD64" s="414"/>
      <c r="AE64" s="414">
        <f>SUM(AK64:AT64)</f>
        <v>62</v>
      </c>
      <c r="AF64" s="414"/>
      <c r="AG64" s="414"/>
      <c r="AH64" s="414"/>
      <c r="AI64" s="414"/>
      <c r="AJ64" s="414"/>
      <c r="AK64" s="806">
        <f>6+9+12</f>
        <v>27</v>
      </c>
      <c r="AL64" s="806"/>
      <c r="AM64" s="806"/>
      <c r="AN64" s="806"/>
      <c r="AO64" s="806"/>
      <c r="AP64" s="414">
        <f>12+12+11</f>
        <v>35</v>
      </c>
      <c r="AQ64" s="414"/>
      <c r="AR64" s="414"/>
      <c r="AS64" s="414"/>
      <c r="AT64" s="414"/>
      <c r="AU64" s="414">
        <f>SUM(BA64:BJ64)</f>
        <v>23</v>
      </c>
      <c r="AV64" s="414"/>
      <c r="AW64" s="414"/>
      <c r="AX64" s="414"/>
      <c r="AY64" s="414"/>
      <c r="AZ64" s="414"/>
      <c r="BA64" s="806">
        <v>15</v>
      </c>
      <c r="BB64" s="806"/>
      <c r="BC64" s="806"/>
      <c r="BD64" s="806"/>
      <c r="BE64" s="806"/>
      <c r="BF64" s="414">
        <v>8</v>
      </c>
      <c r="BG64" s="414"/>
      <c r="BH64" s="414"/>
      <c r="BI64" s="414"/>
      <c r="BJ64" s="414"/>
    </row>
    <row r="65" spans="3:62" ht="12" customHeight="1">
      <c r="C65" s="815" t="s">
        <v>561</v>
      </c>
      <c r="D65" s="815"/>
      <c r="E65" s="815"/>
      <c r="F65" s="815"/>
      <c r="G65" s="815"/>
      <c r="H65" s="815"/>
      <c r="I65" s="815"/>
      <c r="J65" s="815"/>
      <c r="K65" s="815"/>
      <c r="L65" s="815"/>
      <c r="M65" s="815"/>
      <c r="N65" s="331"/>
      <c r="O65" s="402">
        <f>SUM(U65:AD65)</f>
        <v>60</v>
      </c>
      <c r="P65" s="402"/>
      <c r="Q65" s="402"/>
      <c r="R65" s="402"/>
      <c r="S65" s="402"/>
      <c r="T65" s="402"/>
      <c r="U65" s="806">
        <v>27</v>
      </c>
      <c r="V65" s="806"/>
      <c r="W65" s="806"/>
      <c r="X65" s="806"/>
      <c r="Y65" s="806"/>
      <c r="Z65" s="806">
        <v>33</v>
      </c>
      <c r="AA65" s="806"/>
      <c r="AB65" s="806"/>
      <c r="AC65" s="806"/>
      <c r="AD65" s="806"/>
      <c r="AE65" s="414">
        <f>SUM(AK65:AT65)</f>
        <v>59</v>
      </c>
      <c r="AF65" s="414"/>
      <c r="AG65" s="414"/>
      <c r="AH65" s="414"/>
      <c r="AI65" s="414"/>
      <c r="AJ65" s="414"/>
      <c r="AK65" s="806">
        <f>6+10+11</f>
        <v>27</v>
      </c>
      <c r="AL65" s="806"/>
      <c r="AM65" s="806"/>
      <c r="AN65" s="806"/>
      <c r="AO65" s="806"/>
      <c r="AP65" s="806">
        <f>11+11+10</f>
        <v>32</v>
      </c>
      <c r="AQ65" s="806"/>
      <c r="AR65" s="806"/>
      <c r="AS65" s="806"/>
      <c r="AT65" s="806"/>
      <c r="AU65" s="414">
        <f>SUM(BA65:BJ65)</f>
        <v>20</v>
      </c>
      <c r="AV65" s="414"/>
      <c r="AW65" s="414"/>
      <c r="AX65" s="414"/>
      <c r="AY65" s="414"/>
      <c r="AZ65" s="414"/>
      <c r="BA65" s="806">
        <v>12</v>
      </c>
      <c r="BB65" s="806"/>
      <c r="BC65" s="806"/>
      <c r="BD65" s="806"/>
      <c r="BE65" s="806"/>
      <c r="BF65" s="414">
        <v>8</v>
      </c>
      <c r="BG65" s="414"/>
      <c r="BH65" s="414"/>
      <c r="BI65" s="414"/>
      <c r="BJ65" s="414"/>
    </row>
    <row r="66" spans="3:62" ht="12" customHeight="1">
      <c r="C66" s="629" t="s">
        <v>560</v>
      </c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331"/>
      <c r="O66" s="402">
        <f>SUM(U66:AD66)</f>
        <v>60</v>
      </c>
      <c r="P66" s="402"/>
      <c r="Q66" s="402"/>
      <c r="R66" s="402"/>
      <c r="S66" s="402"/>
      <c r="T66" s="402"/>
      <c r="U66" s="806">
        <v>27</v>
      </c>
      <c r="V66" s="806"/>
      <c r="W66" s="806"/>
      <c r="X66" s="806"/>
      <c r="Y66" s="806"/>
      <c r="Z66" s="414">
        <v>33</v>
      </c>
      <c r="AA66" s="414"/>
      <c r="AB66" s="414"/>
      <c r="AC66" s="414"/>
      <c r="AD66" s="414"/>
      <c r="AE66" s="414">
        <f>SUM(AK66:AT66)</f>
        <v>58</v>
      </c>
      <c r="AF66" s="414"/>
      <c r="AG66" s="414"/>
      <c r="AH66" s="414"/>
      <c r="AI66" s="414"/>
      <c r="AJ66" s="414"/>
      <c r="AK66" s="806">
        <f>6+10+11</f>
        <v>27</v>
      </c>
      <c r="AL66" s="806"/>
      <c r="AM66" s="806"/>
      <c r="AN66" s="806"/>
      <c r="AO66" s="806"/>
      <c r="AP66" s="806">
        <f>11+11+9</f>
        <v>31</v>
      </c>
      <c r="AQ66" s="806"/>
      <c r="AR66" s="806"/>
      <c r="AS66" s="806"/>
      <c r="AT66" s="806"/>
      <c r="AU66" s="414">
        <f>SUM(BA66:BJ66)</f>
        <v>17</v>
      </c>
      <c r="AV66" s="414"/>
      <c r="AW66" s="414"/>
      <c r="AX66" s="414"/>
      <c r="AY66" s="414"/>
      <c r="AZ66" s="414"/>
      <c r="BA66" s="806">
        <v>12</v>
      </c>
      <c r="BB66" s="806"/>
      <c r="BC66" s="806"/>
      <c r="BD66" s="806"/>
      <c r="BE66" s="806"/>
      <c r="BF66" s="414">
        <v>5</v>
      </c>
      <c r="BG66" s="414"/>
      <c r="BH66" s="414"/>
      <c r="BI66" s="414"/>
      <c r="BJ66" s="414"/>
    </row>
    <row r="67" spans="3:62" ht="6" customHeight="1"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"/>
      <c r="O67" s="303"/>
      <c r="P67" s="303"/>
      <c r="Q67" s="303"/>
      <c r="R67" s="303"/>
      <c r="S67" s="303"/>
      <c r="T67" s="303"/>
      <c r="U67" s="330"/>
      <c r="V67" s="330"/>
      <c r="W67" s="330"/>
      <c r="X67" s="330"/>
      <c r="Y67" s="330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30"/>
      <c r="AL67" s="330"/>
      <c r="AM67" s="330"/>
      <c r="AN67" s="330"/>
      <c r="AO67" s="330"/>
      <c r="AP67" s="303"/>
      <c r="AQ67" s="303"/>
      <c r="AR67" s="303"/>
      <c r="AS67" s="303"/>
      <c r="AT67" s="303"/>
      <c r="AU67" s="303"/>
      <c r="AV67" s="303"/>
      <c r="AW67" s="303"/>
      <c r="AX67" s="303"/>
      <c r="AY67" s="303"/>
      <c r="AZ67" s="303"/>
      <c r="BA67" s="330"/>
      <c r="BB67" s="330"/>
      <c r="BC67" s="330"/>
      <c r="BD67" s="330"/>
      <c r="BE67" s="330"/>
      <c r="BF67" s="303"/>
      <c r="BG67" s="303"/>
      <c r="BH67" s="303"/>
      <c r="BI67" s="303"/>
      <c r="BJ67" s="303"/>
    </row>
    <row r="68" spans="3:62" ht="12" customHeight="1">
      <c r="C68" s="815" t="s">
        <v>559</v>
      </c>
      <c r="D68" s="815"/>
      <c r="E68" s="815"/>
      <c r="F68" s="815"/>
      <c r="G68" s="815"/>
      <c r="H68" s="815"/>
      <c r="I68" s="815"/>
      <c r="J68" s="815"/>
      <c r="K68" s="815"/>
      <c r="L68" s="815"/>
      <c r="M68" s="815"/>
      <c r="N68" s="311"/>
      <c r="O68" s="402">
        <f>SUM(U68:AD68)</f>
        <v>100</v>
      </c>
      <c r="P68" s="402"/>
      <c r="Q68" s="402"/>
      <c r="R68" s="402"/>
      <c r="S68" s="402"/>
      <c r="T68" s="402"/>
      <c r="U68" s="806">
        <v>51</v>
      </c>
      <c r="V68" s="806"/>
      <c r="W68" s="806"/>
      <c r="X68" s="806"/>
      <c r="Y68" s="806"/>
      <c r="Z68" s="806">
        <v>49</v>
      </c>
      <c r="AA68" s="806"/>
      <c r="AB68" s="806"/>
      <c r="AC68" s="806"/>
      <c r="AD68" s="806"/>
      <c r="AE68" s="414">
        <f>SUM(AK68:AT68)</f>
        <v>95</v>
      </c>
      <c r="AF68" s="414"/>
      <c r="AG68" s="414"/>
      <c r="AH68" s="414"/>
      <c r="AI68" s="414"/>
      <c r="AJ68" s="414"/>
      <c r="AK68" s="806">
        <f>9+20+22</f>
        <v>51</v>
      </c>
      <c r="AL68" s="806"/>
      <c r="AM68" s="806"/>
      <c r="AN68" s="806"/>
      <c r="AO68" s="806"/>
      <c r="AP68" s="806">
        <f>22+17+5</f>
        <v>44</v>
      </c>
      <c r="AQ68" s="806"/>
      <c r="AR68" s="806"/>
      <c r="AS68" s="806"/>
      <c r="AT68" s="806"/>
      <c r="AU68" s="414">
        <f>SUM(BA68:BJ68)</f>
        <v>25</v>
      </c>
      <c r="AV68" s="414"/>
      <c r="AW68" s="414"/>
      <c r="AX68" s="414"/>
      <c r="AY68" s="414"/>
      <c r="AZ68" s="414"/>
      <c r="BA68" s="806">
        <v>20</v>
      </c>
      <c r="BB68" s="806"/>
      <c r="BC68" s="806"/>
      <c r="BD68" s="806"/>
      <c r="BE68" s="806"/>
      <c r="BF68" s="806">
        <v>5</v>
      </c>
      <c r="BG68" s="806"/>
      <c r="BH68" s="806"/>
      <c r="BI68" s="806"/>
      <c r="BJ68" s="806"/>
    </row>
    <row r="69" spans="3:62" ht="12" customHeight="1">
      <c r="C69" s="815" t="s">
        <v>558</v>
      </c>
      <c r="D69" s="815"/>
      <c r="E69" s="815"/>
      <c r="F69" s="815"/>
      <c r="G69" s="815"/>
      <c r="H69" s="815"/>
      <c r="I69" s="815"/>
      <c r="J69" s="815"/>
      <c r="K69" s="815"/>
      <c r="L69" s="815"/>
      <c r="M69" s="815"/>
      <c r="N69" s="311"/>
      <c r="O69" s="402">
        <f>SUM(U69:AD69)</f>
        <v>70</v>
      </c>
      <c r="P69" s="402"/>
      <c r="Q69" s="402"/>
      <c r="R69" s="402"/>
      <c r="S69" s="402"/>
      <c r="T69" s="402"/>
      <c r="U69" s="806">
        <v>32</v>
      </c>
      <c r="V69" s="806"/>
      <c r="W69" s="806"/>
      <c r="X69" s="806"/>
      <c r="Y69" s="806"/>
      <c r="Z69" s="806">
        <v>38</v>
      </c>
      <c r="AA69" s="806"/>
      <c r="AB69" s="806"/>
      <c r="AC69" s="806"/>
      <c r="AD69" s="806"/>
      <c r="AE69" s="414">
        <f>SUM(AK69:AT69)</f>
        <v>68</v>
      </c>
      <c r="AF69" s="414"/>
      <c r="AG69" s="414"/>
      <c r="AH69" s="414"/>
      <c r="AI69" s="414"/>
      <c r="AJ69" s="414"/>
      <c r="AK69" s="806">
        <f>5+12+14</f>
        <v>31</v>
      </c>
      <c r="AL69" s="806"/>
      <c r="AM69" s="806"/>
      <c r="AN69" s="806"/>
      <c r="AO69" s="806"/>
      <c r="AP69" s="806">
        <f>16+16+5</f>
        <v>37</v>
      </c>
      <c r="AQ69" s="806"/>
      <c r="AR69" s="806"/>
      <c r="AS69" s="806"/>
      <c r="AT69" s="806"/>
      <c r="AU69" s="414">
        <f>SUM(BA69:BJ69)</f>
        <v>20</v>
      </c>
      <c r="AV69" s="414"/>
      <c r="AW69" s="414"/>
      <c r="AX69" s="414"/>
      <c r="AY69" s="414"/>
      <c r="AZ69" s="414"/>
      <c r="BA69" s="806">
        <v>15</v>
      </c>
      <c r="BB69" s="806"/>
      <c r="BC69" s="806"/>
      <c r="BD69" s="806"/>
      <c r="BE69" s="806"/>
      <c r="BF69" s="806">
        <v>5</v>
      </c>
      <c r="BG69" s="806"/>
      <c r="BH69" s="806"/>
      <c r="BI69" s="806"/>
      <c r="BJ69" s="806"/>
    </row>
    <row r="70" spans="3:62" ht="12" customHeight="1">
      <c r="C70" s="629" t="s">
        <v>557</v>
      </c>
      <c r="D70" s="629"/>
      <c r="E70" s="629"/>
      <c r="F70" s="629"/>
      <c r="G70" s="629"/>
      <c r="H70" s="629"/>
      <c r="I70" s="629"/>
      <c r="J70" s="629"/>
      <c r="K70" s="629"/>
      <c r="L70" s="629"/>
      <c r="M70" s="629"/>
      <c r="N70" s="311"/>
      <c r="O70" s="402">
        <f>SUM(U70:AD70)</f>
        <v>110</v>
      </c>
      <c r="P70" s="402"/>
      <c r="Q70" s="402"/>
      <c r="R70" s="402"/>
      <c r="S70" s="402"/>
      <c r="T70" s="402"/>
      <c r="U70" s="806">
        <v>47</v>
      </c>
      <c r="V70" s="806"/>
      <c r="W70" s="806"/>
      <c r="X70" s="806"/>
      <c r="Y70" s="806"/>
      <c r="Z70" s="806">
        <v>63</v>
      </c>
      <c r="AA70" s="806"/>
      <c r="AB70" s="806"/>
      <c r="AC70" s="806"/>
      <c r="AD70" s="806"/>
      <c r="AE70" s="414">
        <f>SUM(AK70:AT70)</f>
        <v>103</v>
      </c>
      <c r="AF70" s="414"/>
      <c r="AG70" s="414"/>
      <c r="AH70" s="414"/>
      <c r="AI70" s="414"/>
      <c r="AJ70" s="414"/>
      <c r="AK70" s="806">
        <f>9+18+20</f>
        <v>47</v>
      </c>
      <c r="AL70" s="806"/>
      <c r="AM70" s="806"/>
      <c r="AN70" s="806"/>
      <c r="AO70" s="806"/>
      <c r="AP70" s="806">
        <f>21+21+14</f>
        <v>56</v>
      </c>
      <c r="AQ70" s="806"/>
      <c r="AR70" s="806"/>
      <c r="AS70" s="806"/>
      <c r="AT70" s="806"/>
      <c r="AU70" s="414">
        <f>SUM(BA70:BJ70)</f>
        <v>30</v>
      </c>
      <c r="AV70" s="414"/>
      <c r="AW70" s="414"/>
      <c r="AX70" s="414"/>
      <c r="AY70" s="414"/>
      <c r="AZ70" s="414"/>
      <c r="BA70" s="806">
        <v>23</v>
      </c>
      <c r="BB70" s="806"/>
      <c r="BC70" s="806"/>
      <c r="BD70" s="806"/>
      <c r="BE70" s="806"/>
      <c r="BF70" s="806">
        <v>7</v>
      </c>
      <c r="BG70" s="806"/>
      <c r="BH70" s="806"/>
      <c r="BI70" s="806"/>
      <c r="BJ70" s="806"/>
    </row>
    <row r="71" spans="3:62" ht="12" customHeight="1">
      <c r="C71" s="629" t="s">
        <v>556</v>
      </c>
      <c r="D71" s="629"/>
      <c r="E71" s="629"/>
      <c r="F71" s="629"/>
      <c r="G71" s="629"/>
      <c r="H71" s="629"/>
      <c r="I71" s="629"/>
      <c r="J71" s="629"/>
      <c r="K71" s="629"/>
      <c r="L71" s="629"/>
      <c r="M71" s="629"/>
      <c r="N71" s="311"/>
      <c r="O71" s="402">
        <f>SUM(U71:AD71)</f>
        <v>100</v>
      </c>
      <c r="P71" s="402"/>
      <c r="Q71" s="402"/>
      <c r="R71" s="402"/>
      <c r="S71" s="402"/>
      <c r="T71" s="402"/>
      <c r="U71" s="806">
        <v>40</v>
      </c>
      <c r="V71" s="806"/>
      <c r="W71" s="806"/>
      <c r="X71" s="806"/>
      <c r="Y71" s="806"/>
      <c r="Z71" s="806">
        <v>60</v>
      </c>
      <c r="AA71" s="806"/>
      <c r="AB71" s="806"/>
      <c r="AC71" s="806"/>
      <c r="AD71" s="806"/>
      <c r="AE71" s="414">
        <f>SUM(AK71:AT71)</f>
        <v>97</v>
      </c>
      <c r="AF71" s="414"/>
      <c r="AG71" s="414"/>
      <c r="AH71" s="414"/>
      <c r="AI71" s="414"/>
      <c r="AJ71" s="414"/>
      <c r="AK71" s="806">
        <f>6+16+18</f>
        <v>40</v>
      </c>
      <c r="AL71" s="806"/>
      <c r="AM71" s="806"/>
      <c r="AN71" s="806"/>
      <c r="AO71" s="806"/>
      <c r="AP71" s="806">
        <f>20+20+17</f>
        <v>57</v>
      </c>
      <c r="AQ71" s="806"/>
      <c r="AR71" s="806"/>
      <c r="AS71" s="806"/>
      <c r="AT71" s="806"/>
      <c r="AU71" s="414">
        <f>SUM(BA71:BJ71)</f>
        <v>23</v>
      </c>
      <c r="AV71" s="414"/>
      <c r="AW71" s="414"/>
      <c r="AX71" s="414"/>
      <c r="AY71" s="414"/>
      <c r="AZ71" s="414"/>
      <c r="BA71" s="806">
        <v>17</v>
      </c>
      <c r="BB71" s="806"/>
      <c r="BC71" s="806"/>
      <c r="BD71" s="806"/>
      <c r="BE71" s="806"/>
      <c r="BF71" s="806">
        <v>6</v>
      </c>
      <c r="BG71" s="806"/>
      <c r="BH71" s="806"/>
      <c r="BI71" s="806"/>
      <c r="BJ71" s="806"/>
    </row>
    <row r="72" spans="3:62" ht="12" customHeight="1">
      <c r="C72" s="629" t="s">
        <v>555</v>
      </c>
      <c r="D72" s="629"/>
      <c r="E72" s="629"/>
      <c r="F72" s="629"/>
      <c r="G72" s="629"/>
      <c r="H72" s="629"/>
      <c r="I72" s="629"/>
      <c r="J72" s="629"/>
      <c r="K72" s="629"/>
      <c r="L72" s="629"/>
      <c r="M72" s="629"/>
      <c r="N72" s="311"/>
      <c r="O72" s="402">
        <f>SUM(U72:AD72)</f>
        <v>60</v>
      </c>
      <c r="P72" s="402"/>
      <c r="Q72" s="402"/>
      <c r="R72" s="402"/>
      <c r="S72" s="402"/>
      <c r="T72" s="402"/>
      <c r="U72" s="806">
        <v>27</v>
      </c>
      <c r="V72" s="806"/>
      <c r="W72" s="806"/>
      <c r="X72" s="806"/>
      <c r="Y72" s="806"/>
      <c r="Z72" s="414">
        <v>33</v>
      </c>
      <c r="AA72" s="414"/>
      <c r="AB72" s="414"/>
      <c r="AC72" s="414"/>
      <c r="AD72" s="414"/>
      <c r="AE72" s="414">
        <f>SUM(AK72:AT72)</f>
        <v>52</v>
      </c>
      <c r="AF72" s="414"/>
      <c r="AG72" s="414"/>
      <c r="AH72" s="414"/>
      <c r="AI72" s="414"/>
      <c r="AJ72" s="414"/>
      <c r="AK72" s="806">
        <f>6+10+11</f>
        <v>27</v>
      </c>
      <c r="AL72" s="806"/>
      <c r="AM72" s="806"/>
      <c r="AN72" s="806"/>
      <c r="AO72" s="806"/>
      <c r="AP72" s="414">
        <f>11+10+4</f>
        <v>25</v>
      </c>
      <c r="AQ72" s="414"/>
      <c r="AR72" s="414"/>
      <c r="AS72" s="414"/>
      <c r="AT72" s="414"/>
      <c r="AU72" s="414">
        <f>SUM(BA72:BJ72)</f>
        <v>19</v>
      </c>
      <c r="AV72" s="414"/>
      <c r="AW72" s="414"/>
      <c r="AX72" s="414"/>
      <c r="AY72" s="414"/>
      <c r="AZ72" s="414"/>
      <c r="BA72" s="806">
        <v>12</v>
      </c>
      <c r="BB72" s="806"/>
      <c r="BC72" s="806"/>
      <c r="BD72" s="806"/>
      <c r="BE72" s="806"/>
      <c r="BF72" s="806">
        <v>7</v>
      </c>
      <c r="BG72" s="806"/>
      <c r="BH72" s="806"/>
      <c r="BI72" s="806"/>
      <c r="BJ72" s="806"/>
    </row>
    <row r="73" spans="3:62" ht="6" customHeight="1"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"/>
      <c r="O73" s="303"/>
      <c r="P73" s="303"/>
      <c r="Q73" s="303"/>
      <c r="R73" s="303"/>
      <c r="S73" s="303"/>
      <c r="T73" s="303"/>
      <c r="U73" s="330"/>
      <c r="V73" s="330"/>
      <c r="W73" s="330"/>
      <c r="X73" s="330"/>
      <c r="Y73" s="330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30"/>
      <c r="AL73" s="330"/>
      <c r="AM73" s="330"/>
      <c r="AN73" s="330"/>
      <c r="AO73" s="330"/>
      <c r="AP73" s="303"/>
      <c r="AQ73" s="303"/>
      <c r="AR73" s="303"/>
      <c r="AS73" s="303"/>
      <c r="AT73" s="303"/>
      <c r="AU73" s="303"/>
      <c r="AV73" s="303"/>
      <c r="AW73" s="303"/>
      <c r="AX73" s="303"/>
      <c r="AY73" s="303"/>
      <c r="AZ73" s="303"/>
      <c r="BA73" s="330"/>
      <c r="BB73" s="330"/>
      <c r="BC73" s="330"/>
      <c r="BD73" s="330"/>
      <c r="BE73" s="330"/>
      <c r="BF73" s="303"/>
      <c r="BG73" s="303"/>
      <c r="BH73" s="303"/>
      <c r="BI73" s="303"/>
      <c r="BJ73" s="303"/>
    </row>
    <row r="74" spans="3:62" ht="20.100000000000001" customHeight="1">
      <c r="C74" s="815" t="s">
        <v>554</v>
      </c>
      <c r="D74" s="815"/>
      <c r="E74" s="815"/>
      <c r="F74" s="815"/>
      <c r="G74" s="815"/>
      <c r="H74" s="815"/>
      <c r="I74" s="815"/>
      <c r="J74" s="815"/>
      <c r="K74" s="815"/>
      <c r="L74" s="815"/>
      <c r="M74" s="815"/>
      <c r="N74" s="311"/>
      <c r="O74" s="402">
        <f>SUM(U74:AD74)</f>
        <v>60</v>
      </c>
      <c r="P74" s="402"/>
      <c r="Q74" s="402"/>
      <c r="R74" s="402"/>
      <c r="S74" s="402"/>
      <c r="T74" s="402"/>
      <c r="U74" s="806">
        <v>27</v>
      </c>
      <c r="V74" s="806"/>
      <c r="W74" s="806"/>
      <c r="X74" s="806"/>
      <c r="Y74" s="806"/>
      <c r="Z74" s="806">
        <v>33</v>
      </c>
      <c r="AA74" s="806"/>
      <c r="AB74" s="806"/>
      <c r="AC74" s="806"/>
      <c r="AD74" s="806"/>
      <c r="AE74" s="414">
        <f>SUM(AK74:AT74)</f>
        <v>53</v>
      </c>
      <c r="AF74" s="414"/>
      <c r="AG74" s="414"/>
      <c r="AH74" s="414"/>
      <c r="AI74" s="414"/>
      <c r="AJ74" s="414"/>
      <c r="AK74" s="806">
        <f>6+10+11</f>
        <v>27</v>
      </c>
      <c r="AL74" s="806"/>
      <c r="AM74" s="806"/>
      <c r="AN74" s="806"/>
      <c r="AO74" s="806"/>
      <c r="AP74" s="806">
        <f>11+10+5</f>
        <v>26</v>
      </c>
      <c r="AQ74" s="806"/>
      <c r="AR74" s="806"/>
      <c r="AS74" s="806"/>
      <c r="AT74" s="806"/>
      <c r="AU74" s="414">
        <f>SUM(BA74:BJ74)</f>
        <v>15</v>
      </c>
      <c r="AV74" s="414"/>
      <c r="AW74" s="414"/>
      <c r="AX74" s="414"/>
      <c r="AY74" s="414"/>
      <c r="AZ74" s="414"/>
      <c r="BA74" s="806">
        <v>11</v>
      </c>
      <c r="BB74" s="806"/>
      <c r="BC74" s="806"/>
      <c r="BD74" s="806"/>
      <c r="BE74" s="806"/>
      <c r="BF74" s="806">
        <v>4</v>
      </c>
      <c r="BG74" s="806"/>
      <c r="BH74" s="806"/>
      <c r="BI74" s="806"/>
      <c r="BJ74" s="806"/>
    </row>
    <row r="75" spans="3:62" s="176" customFormat="1" ht="12" customHeight="1">
      <c r="C75" s="812" t="s">
        <v>553</v>
      </c>
      <c r="D75" s="812"/>
      <c r="E75" s="812"/>
      <c r="F75" s="812"/>
      <c r="G75" s="812"/>
      <c r="H75" s="812"/>
      <c r="I75" s="812"/>
      <c r="J75" s="812"/>
      <c r="K75" s="812"/>
      <c r="L75" s="812"/>
      <c r="M75" s="812"/>
      <c r="N75" s="325"/>
      <c r="O75" s="499">
        <f>SUM(U75:AD75)</f>
        <v>60</v>
      </c>
      <c r="P75" s="414"/>
      <c r="Q75" s="414"/>
      <c r="R75" s="414"/>
      <c r="S75" s="414"/>
      <c r="T75" s="414"/>
      <c r="U75" s="806">
        <v>24</v>
      </c>
      <c r="V75" s="806"/>
      <c r="W75" s="806"/>
      <c r="X75" s="806"/>
      <c r="Y75" s="806"/>
      <c r="Z75" s="806">
        <v>36</v>
      </c>
      <c r="AA75" s="806"/>
      <c r="AB75" s="806"/>
      <c r="AC75" s="806"/>
      <c r="AD75" s="806"/>
      <c r="AE75" s="414">
        <f>SUM(AK75:AT75)</f>
        <v>47</v>
      </c>
      <c r="AF75" s="414"/>
      <c r="AG75" s="414"/>
      <c r="AH75" s="414"/>
      <c r="AI75" s="414"/>
      <c r="AJ75" s="414"/>
      <c r="AK75" s="806">
        <f>6+7+10</f>
        <v>23</v>
      </c>
      <c r="AL75" s="806"/>
      <c r="AM75" s="806"/>
      <c r="AN75" s="806"/>
      <c r="AO75" s="806"/>
      <c r="AP75" s="806">
        <f>12+11+1</f>
        <v>24</v>
      </c>
      <c r="AQ75" s="806"/>
      <c r="AR75" s="806"/>
      <c r="AS75" s="806"/>
      <c r="AT75" s="806"/>
      <c r="AU75" s="414">
        <f>SUM(BA75:BJ75)</f>
        <v>12</v>
      </c>
      <c r="AV75" s="414"/>
      <c r="AW75" s="414"/>
      <c r="AX75" s="414"/>
      <c r="AY75" s="414"/>
      <c r="AZ75" s="414"/>
      <c r="BA75" s="806">
        <v>9</v>
      </c>
      <c r="BB75" s="806"/>
      <c r="BC75" s="806"/>
      <c r="BD75" s="806"/>
      <c r="BE75" s="806"/>
      <c r="BF75" s="806">
        <v>3</v>
      </c>
      <c r="BG75" s="806"/>
      <c r="BH75" s="806"/>
      <c r="BI75" s="806"/>
      <c r="BJ75" s="806"/>
    </row>
    <row r="76" spans="3:62" s="176" customFormat="1" ht="12" customHeight="1">
      <c r="C76" s="808" t="s">
        <v>552</v>
      </c>
      <c r="D76" s="808"/>
      <c r="E76" s="808"/>
      <c r="F76" s="808"/>
      <c r="G76" s="808"/>
      <c r="H76" s="808"/>
      <c r="I76" s="808"/>
      <c r="J76" s="808"/>
      <c r="K76" s="808"/>
      <c r="L76" s="808"/>
      <c r="M76" s="808"/>
      <c r="N76" s="325"/>
      <c r="O76" s="499">
        <f>SUM(U76:AD76)</f>
        <v>71</v>
      </c>
      <c r="P76" s="414"/>
      <c r="Q76" s="414"/>
      <c r="R76" s="414"/>
      <c r="S76" s="414"/>
      <c r="T76" s="414"/>
      <c r="U76" s="806">
        <v>32</v>
      </c>
      <c r="V76" s="806"/>
      <c r="W76" s="806"/>
      <c r="X76" s="806"/>
      <c r="Y76" s="806"/>
      <c r="Z76" s="806">
        <v>39</v>
      </c>
      <c r="AA76" s="806"/>
      <c r="AB76" s="806"/>
      <c r="AC76" s="806"/>
      <c r="AD76" s="806"/>
      <c r="AE76" s="414">
        <f>SUM(AK76:AT76)</f>
        <v>63</v>
      </c>
      <c r="AF76" s="414"/>
      <c r="AG76" s="414"/>
      <c r="AH76" s="414"/>
      <c r="AI76" s="414"/>
      <c r="AJ76" s="414"/>
      <c r="AK76" s="806">
        <f>6+13+13</f>
        <v>32</v>
      </c>
      <c r="AL76" s="806"/>
      <c r="AM76" s="806"/>
      <c r="AN76" s="806"/>
      <c r="AO76" s="806"/>
      <c r="AP76" s="806">
        <f>13+13+5</f>
        <v>31</v>
      </c>
      <c r="AQ76" s="806"/>
      <c r="AR76" s="806"/>
      <c r="AS76" s="806"/>
      <c r="AT76" s="806"/>
      <c r="AU76" s="414">
        <f>SUM(BA76:BJ76)</f>
        <v>21</v>
      </c>
      <c r="AV76" s="414"/>
      <c r="AW76" s="414"/>
      <c r="AX76" s="414"/>
      <c r="AY76" s="414"/>
      <c r="AZ76" s="414"/>
      <c r="BA76" s="806">
        <v>17</v>
      </c>
      <c r="BB76" s="806"/>
      <c r="BC76" s="806"/>
      <c r="BD76" s="806"/>
      <c r="BE76" s="806"/>
      <c r="BF76" s="806">
        <v>4</v>
      </c>
      <c r="BG76" s="806"/>
      <c r="BH76" s="806"/>
      <c r="BI76" s="806"/>
      <c r="BJ76" s="806"/>
    </row>
    <row r="77" spans="3:62" s="176" customFormat="1" ht="12" customHeight="1">
      <c r="C77" s="808" t="s">
        <v>551</v>
      </c>
      <c r="D77" s="808"/>
      <c r="E77" s="808"/>
      <c r="F77" s="808"/>
      <c r="G77" s="808"/>
      <c r="H77" s="808"/>
      <c r="I77" s="808"/>
      <c r="J77" s="808"/>
      <c r="K77" s="808"/>
      <c r="L77" s="808"/>
      <c r="M77" s="808"/>
      <c r="N77" s="325"/>
      <c r="O77" s="499">
        <f>SUM(U77:AD77)</f>
        <v>70</v>
      </c>
      <c r="P77" s="414"/>
      <c r="Q77" s="414"/>
      <c r="R77" s="414"/>
      <c r="S77" s="414"/>
      <c r="T77" s="414"/>
      <c r="U77" s="806">
        <v>39</v>
      </c>
      <c r="V77" s="806"/>
      <c r="W77" s="806"/>
      <c r="X77" s="806"/>
      <c r="Y77" s="806"/>
      <c r="Z77" s="806">
        <v>31</v>
      </c>
      <c r="AA77" s="806"/>
      <c r="AB77" s="806"/>
      <c r="AC77" s="806"/>
      <c r="AD77" s="806"/>
      <c r="AE77" s="414">
        <f>SUM(AK77:AT77)</f>
        <v>67</v>
      </c>
      <c r="AF77" s="414"/>
      <c r="AG77" s="414"/>
      <c r="AH77" s="414"/>
      <c r="AI77" s="414"/>
      <c r="AJ77" s="414"/>
      <c r="AK77" s="806">
        <f>6+15+18</f>
        <v>39</v>
      </c>
      <c r="AL77" s="806"/>
      <c r="AM77" s="806"/>
      <c r="AN77" s="806"/>
      <c r="AO77" s="806"/>
      <c r="AP77" s="806">
        <f>18+7+3</f>
        <v>28</v>
      </c>
      <c r="AQ77" s="806"/>
      <c r="AR77" s="806"/>
      <c r="AS77" s="806"/>
      <c r="AT77" s="806"/>
      <c r="AU77" s="414">
        <f>SUM(BA77:BJ77)</f>
        <v>19</v>
      </c>
      <c r="AV77" s="414"/>
      <c r="AW77" s="414"/>
      <c r="AX77" s="414"/>
      <c r="AY77" s="414"/>
      <c r="AZ77" s="414"/>
      <c r="BA77" s="806">
        <v>14</v>
      </c>
      <c r="BB77" s="806"/>
      <c r="BC77" s="806"/>
      <c r="BD77" s="806"/>
      <c r="BE77" s="806"/>
      <c r="BF77" s="806">
        <v>5</v>
      </c>
      <c r="BG77" s="806"/>
      <c r="BH77" s="806"/>
      <c r="BI77" s="806"/>
      <c r="BJ77" s="806"/>
    </row>
    <row r="78" spans="3:62" s="176" customFormat="1" ht="19.5" customHeight="1">
      <c r="C78" s="810" t="s">
        <v>550</v>
      </c>
      <c r="D78" s="811"/>
      <c r="E78" s="811"/>
      <c r="F78" s="811"/>
      <c r="G78" s="811"/>
      <c r="H78" s="811"/>
      <c r="I78" s="811"/>
      <c r="J78" s="811"/>
      <c r="K78" s="811"/>
      <c r="L78" s="811"/>
      <c r="M78" s="811"/>
      <c r="N78" s="325"/>
      <c r="O78" s="499">
        <f>SUM(U78:AD78)</f>
        <v>70</v>
      </c>
      <c r="P78" s="414"/>
      <c r="Q78" s="414"/>
      <c r="R78" s="414"/>
      <c r="S78" s="414"/>
      <c r="T78" s="414"/>
      <c r="U78" s="806">
        <v>39</v>
      </c>
      <c r="V78" s="806"/>
      <c r="W78" s="806"/>
      <c r="X78" s="806"/>
      <c r="Y78" s="806"/>
      <c r="Z78" s="414">
        <v>31</v>
      </c>
      <c r="AA78" s="414"/>
      <c r="AB78" s="414"/>
      <c r="AC78" s="414"/>
      <c r="AD78" s="414"/>
      <c r="AE78" s="414">
        <f>SUM(AK78:AT78)</f>
        <v>70</v>
      </c>
      <c r="AF78" s="414"/>
      <c r="AG78" s="414"/>
      <c r="AH78" s="414"/>
      <c r="AI78" s="414"/>
      <c r="AJ78" s="414"/>
      <c r="AK78" s="806">
        <f>6+15+18</f>
        <v>39</v>
      </c>
      <c r="AL78" s="806"/>
      <c r="AM78" s="806"/>
      <c r="AN78" s="806"/>
      <c r="AO78" s="806"/>
      <c r="AP78" s="414">
        <f>20+9+2</f>
        <v>31</v>
      </c>
      <c r="AQ78" s="414"/>
      <c r="AR78" s="414"/>
      <c r="AS78" s="414"/>
      <c r="AT78" s="414"/>
      <c r="AU78" s="414">
        <f>SUM(BA78:BJ78)</f>
        <v>20</v>
      </c>
      <c r="AV78" s="414"/>
      <c r="AW78" s="414"/>
      <c r="AX78" s="414"/>
      <c r="AY78" s="414"/>
      <c r="AZ78" s="414"/>
      <c r="BA78" s="806">
        <v>15</v>
      </c>
      <c r="BB78" s="806"/>
      <c r="BC78" s="806"/>
      <c r="BD78" s="806"/>
      <c r="BE78" s="806"/>
      <c r="BF78" s="806">
        <v>5</v>
      </c>
      <c r="BG78" s="806"/>
      <c r="BH78" s="806"/>
      <c r="BI78" s="806"/>
      <c r="BJ78" s="806"/>
    </row>
    <row r="79" spans="3:62" s="176" customFormat="1" ht="6" customHeight="1">
      <c r="C79" s="325"/>
      <c r="D79" s="325"/>
      <c r="E79" s="325"/>
      <c r="F79" s="325"/>
      <c r="G79" s="325"/>
      <c r="H79" s="325"/>
      <c r="I79" s="325"/>
      <c r="J79" s="325"/>
      <c r="K79" s="325"/>
      <c r="L79" s="325"/>
      <c r="M79" s="325"/>
      <c r="N79" s="14"/>
      <c r="O79" s="309"/>
      <c r="P79" s="303"/>
      <c r="Q79" s="303"/>
      <c r="R79" s="303"/>
      <c r="S79" s="303"/>
      <c r="T79" s="303"/>
      <c r="U79" s="330"/>
      <c r="V79" s="330"/>
      <c r="W79" s="330"/>
      <c r="X79" s="330"/>
      <c r="Y79" s="330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30"/>
      <c r="AL79" s="330"/>
      <c r="AM79" s="330"/>
      <c r="AN79" s="330"/>
      <c r="AO79" s="330"/>
      <c r="AP79" s="303"/>
      <c r="AQ79" s="303"/>
      <c r="AR79" s="303"/>
      <c r="AS79" s="303"/>
      <c r="AT79" s="303"/>
      <c r="AU79" s="303"/>
      <c r="AV79" s="303"/>
      <c r="AW79" s="303"/>
      <c r="AX79" s="303"/>
      <c r="AY79" s="303"/>
      <c r="AZ79" s="303"/>
      <c r="BA79" s="330"/>
      <c r="BB79" s="330"/>
      <c r="BC79" s="330"/>
      <c r="BD79" s="330"/>
      <c r="BE79" s="330"/>
      <c r="BF79" s="303"/>
      <c r="BG79" s="303"/>
      <c r="BH79" s="303"/>
      <c r="BI79" s="303"/>
      <c r="BJ79" s="303"/>
    </row>
    <row r="80" spans="3:62" s="176" customFormat="1" ht="12" customHeight="1">
      <c r="C80" s="810" t="s">
        <v>549</v>
      </c>
      <c r="D80" s="811"/>
      <c r="E80" s="811"/>
      <c r="F80" s="811"/>
      <c r="G80" s="811"/>
      <c r="H80" s="811"/>
      <c r="I80" s="811"/>
      <c r="J80" s="811"/>
      <c r="K80" s="811"/>
      <c r="L80" s="811"/>
      <c r="M80" s="811"/>
      <c r="N80" s="325"/>
      <c r="O80" s="499">
        <f>SUM(U80:AD80)</f>
        <v>120</v>
      </c>
      <c r="P80" s="414"/>
      <c r="Q80" s="414"/>
      <c r="R80" s="414"/>
      <c r="S80" s="414"/>
      <c r="T80" s="414"/>
      <c r="U80" s="806">
        <v>51</v>
      </c>
      <c r="V80" s="806"/>
      <c r="W80" s="806"/>
      <c r="X80" s="806"/>
      <c r="Y80" s="806"/>
      <c r="Z80" s="806">
        <v>69</v>
      </c>
      <c r="AA80" s="806"/>
      <c r="AB80" s="806"/>
      <c r="AC80" s="806"/>
      <c r="AD80" s="806"/>
      <c r="AE80" s="414">
        <f>SUM(AK80:AT80)</f>
        <v>99</v>
      </c>
      <c r="AF80" s="414"/>
      <c r="AG80" s="414"/>
      <c r="AH80" s="414"/>
      <c r="AI80" s="414"/>
      <c r="AJ80" s="414"/>
      <c r="AK80" s="806">
        <f>9+20+22</f>
        <v>51</v>
      </c>
      <c r="AL80" s="806"/>
      <c r="AM80" s="806"/>
      <c r="AN80" s="806"/>
      <c r="AO80" s="806"/>
      <c r="AP80" s="806">
        <f>23+17+8</f>
        <v>48</v>
      </c>
      <c r="AQ80" s="806"/>
      <c r="AR80" s="806"/>
      <c r="AS80" s="806"/>
      <c r="AT80" s="806"/>
      <c r="AU80" s="414">
        <f>SUM(BA80:BJ80)</f>
        <v>24</v>
      </c>
      <c r="AV80" s="414"/>
      <c r="AW80" s="414"/>
      <c r="AX80" s="414"/>
      <c r="AY80" s="414"/>
      <c r="AZ80" s="414"/>
      <c r="BA80" s="806">
        <v>19</v>
      </c>
      <c r="BB80" s="806"/>
      <c r="BC80" s="806"/>
      <c r="BD80" s="806"/>
      <c r="BE80" s="806"/>
      <c r="BF80" s="806">
        <v>5</v>
      </c>
      <c r="BG80" s="806"/>
      <c r="BH80" s="806"/>
      <c r="BI80" s="806"/>
      <c r="BJ80" s="806"/>
    </row>
    <row r="81" spans="2:62" ht="6" customHeight="1"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9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328"/>
      <c r="AY81" s="328"/>
      <c r="AZ81" s="328"/>
      <c r="BA81" s="328"/>
      <c r="BB81" s="328"/>
      <c r="BC81" s="328"/>
      <c r="BD81" s="328"/>
      <c r="BE81" s="328"/>
      <c r="BF81" s="328"/>
      <c r="BG81" s="328"/>
      <c r="BH81" s="328"/>
      <c r="BI81" s="328"/>
      <c r="BJ81" s="328"/>
    </row>
    <row r="82" spans="2:62" ht="11.1" customHeight="1">
      <c r="C82" s="400" t="s">
        <v>8</v>
      </c>
      <c r="D82" s="400"/>
      <c r="E82" s="297" t="s">
        <v>127</v>
      </c>
      <c r="F82" s="377">
        <v>-1</v>
      </c>
      <c r="G82" s="377"/>
      <c r="H82" s="2" t="s">
        <v>548</v>
      </c>
      <c r="AD82" s="809">
        <v>-2</v>
      </c>
      <c r="AE82" s="809"/>
      <c r="AF82" s="2" t="s">
        <v>547</v>
      </c>
    </row>
    <row r="83" spans="2:62" ht="11.1" customHeight="1">
      <c r="B83" s="404" t="s">
        <v>9</v>
      </c>
      <c r="C83" s="404"/>
      <c r="D83" s="404"/>
      <c r="E83" s="297" t="s">
        <v>127</v>
      </c>
      <c r="F83" s="2" t="s">
        <v>546</v>
      </c>
    </row>
  </sheetData>
  <mergeCells count="558">
    <mergeCell ref="B4:BJ4"/>
    <mergeCell ref="B6:N7"/>
    <mergeCell ref="O6:AD6"/>
    <mergeCell ref="AE6:AT6"/>
    <mergeCell ref="AU6:BJ6"/>
    <mergeCell ref="O7:T7"/>
    <mergeCell ref="U7:Y7"/>
    <mergeCell ref="Z7:AD7"/>
    <mergeCell ref="AE7:AJ7"/>
    <mergeCell ref="AK7:AO7"/>
    <mergeCell ref="BF9:BJ9"/>
    <mergeCell ref="C10:M10"/>
    <mergeCell ref="O10:T10"/>
    <mergeCell ref="U10:Y10"/>
    <mergeCell ref="Z10:AD10"/>
    <mergeCell ref="AE10:AJ10"/>
    <mergeCell ref="AP7:AT7"/>
    <mergeCell ref="AU7:AZ7"/>
    <mergeCell ref="BA7:BE7"/>
    <mergeCell ref="BF7:BJ7"/>
    <mergeCell ref="AK9:AO9"/>
    <mergeCell ref="AP9:AT9"/>
    <mergeCell ref="AU9:AZ9"/>
    <mergeCell ref="BA9:BE9"/>
    <mergeCell ref="BF11:BJ11"/>
    <mergeCell ref="C12:M12"/>
    <mergeCell ref="O12:T12"/>
    <mergeCell ref="U12:Y12"/>
    <mergeCell ref="Z12:AD12"/>
    <mergeCell ref="AE12:AJ12"/>
    <mergeCell ref="AK10:AO10"/>
    <mergeCell ref="AP10:AT10"/>
    <mergeCell ref="AU10:AZ10"/>
    <mergeCell ref="BA10:BE10"/>
    <mergeCell ref="BF10:BJ10"/>
    <mergeCell ref="C9:M9"/>
    <mergeCell ref="O9:T9"/>
    <mergeCell ref="U9:Y9"/>
    <mergeCell ref="Z9:AD9"/>
    <mergeCell ref="AE9:AJ9"/>
    <mergeCell ref="AK11:AO11"/>
    <mergeCell ref="AP11:AT11"/>
    <mergeCell ref="AU11:AZ11"/>
    <mergeCell ref="BA11:BE11"/>
    <mergeCell ref="BF13:BJ13"/>
    <mergeCell ref="C15:M15"/>
    <mergeCell ref="O15:T15"/>
    <mergeCell ref="U15:Y15"/>
    <mergeCell ref="Z15:AD15"/>
    <mergeCell ref="AE15:AJ15"/>
    <mergeCell ref="AK12:AO12"/>
    <mergeCell ref="AP12:AT12"/>
    <mergeCell ref="AU12:AZ12"/>
    <mergeCell ref="BA12:BE12"/>
    <mergeCell ref="BF12:BJ12"/>
    <mergeCell ref="C11:M11"/>
    <mergeCell ref="O11:T11"/>
    <mergeCell ref="U11:Y11"/>
    <mergeCell ref="Z11:AD11"/>
    <mergeCell ref="AE11:AJ11"/>
    <mergeCell ref="AK13:AO13"/>
    <mergeCell ref="AP13:AT13"/>
    <mergeCell ref="AU13:AZ13"/>
    <mergeCell ref="BA13:BE13"/>
    <mergeCell ref="BF16:BJ16"/>
    <mergeCell ref="C17:M17"/>
    <mergeCell ref="O17:T17"/>
    <mergeCell ref="U17:Y17"/>
    <mergeCell ref="Z17:AD17"/>
    <mergeCell ref="AE17:AJ17"/>
    <mergeCell ref="AK15:AO15"/>
    <mergeCell ref="AP15:AT15"/>
    <mergeCell ref="AU15:AZ15"/>
    <mergeCell ref="BA15:BE15"/>
    <mergeCell ref="BF15:BJ15"/>
    <mergeCell ref="C13:M13"/>
    <mergeCell ref="O13:T13"/>
    <mergeCell ref="U13:Y13"/>
    <mergeCell ref="Z13:AD13"/>
    <mergeCell ref="AE13:AJ13"/>
    <mergeCell ref="AK16:AO16"/>
    <mergeCell ref="AP16:AT16"/>
    <mergeCell ref="AU16:AZ16"/>
    <mergeCell ref="BA16:BE16"/>
    <mergeCell ref="C19:M19"/>
    <mergeCell ref="O19:T19"/>
    <mergeCell ref="U19:Y19"/>
    <mergeCell ref="Z19:AD19"/>
    <mergeCell ref="AP17:AT17"/>
    <mergeCell ref="AU17:AZ17"/>
    <mergeCell ref="AK17:AO17"/>
    <mergeCell ref="AP18:AT18"/>
    <mergeCell ref="AU18:AZ18"/>
    <mergeCell ref="BA18:BE18"/>
    <mergeCell ref="C16:M16"/>
    <mergeCell ref="O16:T16"/>
    <mergeCell ref="U16:Y16"/>
    <mergeCell ref="Z16:AD16"/>
    <mergeCell ref="AE16:AJ16"/>
    <mergeCell ref="AP19:AT19"/>
    <mergeCell ref="AU19:AZ19"/>
    <mergeCell ref="BA19:BE19"/>
    <mergeCell ref="BF19:BJ19"/>
    <mergeCell ref="AE19:AJ19"/>
    <mergeCell ref="AK19:AO19"/>
    <mergeCell ref="BA17:BE17"/>
    <mergeCell ref="BF17:BJ17"/>
    <mergeCell ref="C18:M18"/>
    <mergeCell ref="O18:T18"/>
    <mergeCell ref="U18:Y18"/>
    <mergeCell ref="Z18:AD18"/>
    <mergeCell ref="AE18:AJ18"/>
    <mergeCell ref="AK18:AO18"/>
    <mergeCell ref="BF18:BJ18"/>
    <mergeCell ref="C21:D21"/>
    <mergeCell ref="F21:G21"/>
    <mergeCell ref="AD21:AE21"/>
    <mergeCell ref="F22:G22"/>
    <mergeCell ref="B23:D23"/>
    <mergeCell ref="B25:BJ25"/>
    <mergeCell ref="B27:N28"/>
    <mergeCell ref="O27:AD27"/>
    <mergeCell ref="AE27:AT27"/>
    <mergeCell ref="AU27:BJ27"/>
    <mergeCell ref="O28:T28"/>
    <mergeCell ref="U28:Y28"/>
    <mergeCell ref="AE28:AJ28"/>
    <mergeCell ref="AK28:AO28"/>
    <mergeCell ref="AP28:AT28"/>
    <mergeCell ref="AU28:AZ28"/>
    <mergeCell ref="BA28:BE28"/>
    <mergeCell ref="BF28:BJ28"/>
    <mergeCell ref="Z28:AD28"/>
    <mergeCell ref="BF32:BJ32"/>
    <mergeCell ref="C33:M33"/>
    <mergeCell ref="O33:T33"/>
    <mergeCell ref="U33:Y33"/>
    <mergeCell ref="Z33:AD33"/>
    <mergeCell ref="AE33:AJ33"/>
    <mergeCell ref="AK33:AO33"/>
    <mergeCell ref="C32:M32"/>
    <mergeCell ref="O32:T32"/>
    <mergeCell ref="U32:Y32"/>
    <mergeCell ref="AP32:AT32"/>
    <mergeCell ref="AU32:AZ32"/>
    <mergeCell ref="BA32:BE32"/>
    <mergeCell ref="BF33:BJ33"/>
    <mergeCell ref="BF34:BJ34"/>
    <mergeCell ref="C35:M35"/>
    <mergeCell ref="O35:T35"/>
    <mergeCell ref="U35:Y35"/>
    <mergeCell ref="Z35:AD35"/>
    <mergeCell ref="AE35:AJ35"/>
    <mergeCell ref="AK35:AO35"/>
    <mergeCell ref="AP35:AT35"/>
    <mergeCell ref="AU35:AZ35"/>
    <mergeCell ref="AP33:AT33"/>
    <mergeCell ref="AU33:AZ33"/>
    <mergeCell ref="BA33:BE33"/>
    <mergeCell ref="BA34:BE34"/>
    <mergeCell ref="BF36:BJ36"/>
    <mergeCell ref="C38:M38"/>
    <mergeCell ref="O38:T38"/>
    <mergeCell ref="U38:Y38"/>
    <mergeCell ref="Z38:AD38"/>
    <mergeCell ref="AE38:AJ38"/>
    <mergeCell ref="AK38:AO38"/>
    <mergeCell ref="AP38:AT38"/>
    <mergeCell ref="AU38:AZ38"/>
    <mergeCell ref="BA35:BE35"/>
    <mergeCell ref="BF35:BJ35"/>
    <mergeCell ref="C34:M34"/>
    <mergeCell ref="O34:T34"/>
    <mergeCell ref="U34:Y34"/>
    <mergeCell ref="Z34:AD34"/>
    <mergeCell ref="AE34:AJ34"/>
    <mergeCell ref="AK34:AO34"/>
    <mergeCell ref="AP34:AT34"/>
    <mergeCell ref="AU34:AZ34"/>
    <mergeCell ref="BA36:BE36"/>
    <mergeCell ref="BF39:BJ39"/>
    <mergeCell ref="C40:M40"/>
    <mergeCell ref="O40:T40"/>
    <mergeCell ref="U40:Y40"/>
    <mergeCell ref="Z40:AD40"/>
    <mergeCell ref="AE40:AJ40"/>
    <mergeCell ref="AK40:AO40"/>
    <mergeCell ref="AP40:AT40"/>
    <mergeCell ref="AU40:AZ40"/>
    <mergeCell ref="BA38:BE38"/>
    <mergeCell ref="BF38:BJ38"/>
    <mergeCell ref="C36:M36"/>
    <mergeCell ref="O36:T36"/>
    <mergeCell ref="U36:Y36"/>
    <mergeCell ref="Z36:AD36"/>
    <mergeCell ref="AE36:AJ36"/>
    <mergeCell ref="AK36:AO36"/>
    <mergeCell ref="AP36:AT36"/>
    <mergeCell ref="AU36:AZ36"/>
    <mergeCell ref="BA39:BE39"/>
    <mergeCell ref="BF41:BJ41"/>
    <mergeCell ref="C42:M42"/>
    <mergeCell ref="O42:T42"/>
    <mergeCell ref="U42:Y42"/>
    <mergeCell ref="Z42:AD42"/>
    <mergeCell ref="AE42:AJ42"/>
    <mergeCell ref="AK42:AO42"/>
    <mergeCell ref="AP42:AT42"/>
    <mergeCell ref="AU42:AZ42"/>
    <mergeCell ref="BA40:BE40"/>
    <mergeCell ref="BF40:BJ40"/>
    <mergeCell ref="C39:M39"/>
    <mergeCell ref="O39:T39"/>
    <mergeCell ref="U39:Y39"/>
    <mergeCell ref="Z39:AD39"/>
    <mergeCell ref="AE39:AJ39"/>
    <mergeCell ref="AK39:AO39"/>
    <mergeCell ref="AP39:AT39"/>
    <mergeCell ref="AU39:AZ39"/>
    <mergeCell ref="BA41:BE41"/>
    <mergeCell ref="BF44:BJ44"/>
    <mergeCell ref="C45:M45"/>
    <mergeCell ref="O45:T45"/>
    <mergeCell ref="U45:Y45"/>
    <mergeCell ref="Z45:AD45"/>
    <mergeCell ref="AE45:AJ45"/>
    <mergeCell ref="AK45:AO45"/>
    <mergeCell ref="AP45:AT45"/>
    <mergeCell ref="AU45:AZ45"/>
    <mergeCell ref="BA42:BE42"/>
    <mergeCell ref="BF42:BJ42"/>
    <mergeCell ref="C41:M41"/>
    <mergeCell ref="O41:T41"/>
    <mergeCell ref="U41:Y41"/>
    <mergeCell ref="Z41:AD41"/>
    <mergeCell ref="AE41:AJ41"/>
    <mergeCell ref="AK41:AO41"/>
    <mergeCell ref="AP41:AT41"/>
    <mergeCell ref="AU41:AZ41"/>
    <mergeCell ref="BA44:BE44"/>
    <mergeCell ref="BF46:BJ46"/>
    <mergeCell ref="C47:M47"/>
    <mergeCell ref="O47:T47"/>
    <mergeCell ref="U47:Y47"/>
    <mergeCell ref="Z47:AD47"/>
    <mergeCell ref="AE47:AJ47"/>
    <mergeCell ref="AK47:AO47"/>
    <mergeCell ref="AP47:AT47"/>
    <mergeCell ref="AU47:AZ47"/>
    <mergeCell ref="BA45:BE45"/>
    <mergeCell ref="BF45:BJ45"/>
    <mergeCell ref="C44:M44"/>
    <mergeCell ref="O44:T44"/>
    <mergeCell ref="U44:Y44"/>
    <mergeCell ref="Z44:AD44"/>
    <mergeCell ref="AE44:AJ44"/>
    <mergeCell ref="AK44:AO44"/>
    <mergeCell ref="AP44:AT44"/>
    <mergeCell ref="AU44:AZ44"/>
    <mergeCell ref="BA46:BE46"/>
    <mergeCell ref="BF48:BJ48"/>
    <mergeCell ref="C50:M50"/>
    <mergeCell ref="O50:T50"/>
    <mergeCell ref="U50:Y50"/>
    <mergeCell ref="Z50:AD50"/>
    <mergeCell ref="AE50:AJ50"/>
    <mergeCell ref="AK50:AO50"/>
    <mergeCell ref="AP50:AT50"/>
    <mergeCell ref="AU50:AZ50"/>
    <mergeCell ref="BA47:BE47"/>
    <mergeCell ref="BF47:BJ47"/>
    <mergeCell ref="C46:M46"/>
    <mergeCell ref="O46:T46"/>
    <mergeCell ref="U46:Y46"/>
    <mergeCell ref="Z46:AD46"/>
    <mergeCell ref="AE46:AJ46"/>
    <mergeCell ref="AK46:AO46"/>
    <mergeCell ref="AP46:AT46"/>
    <mergeCell ref="AU46:AZ46"/>
    <mergeCell ref="BA48:BE48"/>
    <mergeCell ref="BF51:BJ51"/>
    <mergeCell ref="C52:M52"/>
    <mergeCell ref="O52:T52"/>
    <mergeCell ref="U52:Y52"/>
    <mergeCell ref="Z52:AD52"/>
    <mergeCell ref="AE52:AJ52"/>
    <mergeCell ref="AK52:AO52"/>
    <mergeCell ref="AP52:AT52"/>
    <mergeCell ref="AU52:AZ52"/>
    <mergeCell ref="BA50:BE50"/>
    <mergeCell ref="BF50:BJ50"/>
    <mergeCell ref="C48:M48"/>
    <mergeCell ref="O48:T48"/>
    <mergeCell ref="U48:Y48"/>
    <mergeCell ref="Z48:AD48"/>
    <mergeCell ref="AE48:AJ48"/>
    <mergeCell ref="AK48:AO48"/>
    <mergeCell ref="AP48:AT48"/>
    <mergeCell ref="AU48:AZ48"/>
    <mergeCell ref="BA51:BE51"/>
    <mergeCell ref="BF53:BJ53"/>
    <mergeCell ref="C54:M54"/>
    <mergeCell ref="O54:T54"/>
    <mergeCell ref="U54:Y54"/>
    <mergeCell ref="Z54:AD54"/>
    <mergeCell ref="AE54:AJ54"/>
    <mergeCell ref="AK54:AO54"/>
    <mergeCell ref="AP54:AT54"/>
    <mergeCell ref="AU54:AZ54"/>
    <mergeCell ref="BA52:BE52"/>
    <mergeCell ref="BF52:BJ52"/>
    <mergeCell ref="C51:M51"/>
    <mergeCell ref="O51:T51"/>
    <mergeCell ref="U51:Y51"/>
    <mergeCell ref="Z51:AD51"/>
    <mergeCell ref="AE51:AJ51"/>
    <mergeCell ref="AK51:AO51"/>
    <mergeCell ref="AP51:AT51"/>
    <mergeCell ref="AU51:AZ51"/>
    <mergeCell ref="BA53:BE53"/>
    <mergeCell ref="BF56:BJ56"/>
    <mergeCell ref="C57:M57"/>
    <mergeCell ref="O57:T57"/>
    <mergeCell ref="U57:Y57"/>
    <mergeCell ref="Z57:AD57"/>
    <mergeCell ref="AE57:AJ57"/>
    <mergeCell ref="AK57:AO57"/>
    <mergeCell ref="AP57:AT57"/>
    <mergeCell ref="AU57:AZ57"/>
    <mergeCell ref="BA54:BE54"/>
    <mergeCell ref="BF54:BJ54"/>
    <mergeCell ref="C53:M53"/>
    <mergeCell ref="O53:T53"/>
    <mergeCell ref="U53:Y53"/>
    <mergeCell ref="Z53:AD53"/>
    <mergeCell ref="AE53:AJ53"/>
    <mergeCell ref="AK53:AO53"/>
    <mergeCell ref="AP53:AT53"/>
    <mergeCell ref="AU53:AZ53"/>
    <mergeCell ref="BA56:BE56"/>
    <mergeCell ref="BF58:BJ58"/>
    <mergeCell ref="C59:M59"/>
    <mergeCell ref="O59:T59"/>
    <mergeCell ref="U59:Y59"/>
    <mergeCell ref="Z59:AD59"/>
    <mergeCell ref="AE59:AJ59"/>
    <mergeCell ref="AK59:AO59"/>
    <mergeCell ref="AP59:AT59"/>
    <mergeCell ref="AU59:AZ59"/>
    <mergeCell ref="BA57:BE57"/>
    <mergeCell ref="BF57:BJ57"/>
    <mergeCell ref="C56:M56"/>
    <mergeCell ref="O56:T56"/>
    <mergeCell ref="U56:Y56"/>
    <mergeCell ref="Z56:AD56"/>
    <mergeCell ref="AE56:AJ56"/>
    <mergeCell ref="AK56:AO56"/>
    <mergeCell ref="AP56:AT56"/>
    <mergeCell ref="AU56:AZ56"/>
    <mergeCell ref="BA58:BE58"/>
    <mergeCell ref="BF60:BJ60"/>
    <mergeCell ref="C62:M62"/>
    <mergeCell ref="O62:T62"/>
    <mergeCell ref="U62:Y62"/>
    <mergeCell ref="Z62:AD62"/>
    <mergeCell ref="AE62:AJ62"/>
    <mergeCell ref="AK62:AO62"/>
    <mergeCell ref="AP62:AT62"/>
    <mergeCell ref="AU62:AZ62"/>
    <mergeCell ref="BA59:BE59"/>
    <mergeCell ref="BF59:BJ59"/>
    <mergeCell ref="C58:M58"/>
    <mergeCell ref="O58:T58"/>
    <mergeCell ref="U58:Y58"/>
    <mergeCell ref="Z58:AD58"/>
    <mergeCell ref="AE58:AJ58"/>
    <mergeCell ref="AK58:AO58"/>
    <mergeCell ref="AP58:AT58"/>
    <mergeCell ref="AU58:AZ58"/>
    <mergeCell ref="BA60:BE60"/>
    <mergeCell ref="BF63:BJ63"/>
    <mergeCell ref="C64:M64"/>
    <mergeCell ref="O64:T64"/>
    <mergeCell ref="U64:Y64"/>
    <mergeCell ref="Z64:AD64"/>
    <mergeCell ref="AE64:AJ64"/>
    <mergeCell ref="AK64:AO64"/>
    <mergeCell ref="AP64:AT64"/>
    <mergeCell ref="AU64:AZ64"/>
    <mergeCell ref="BA62:BE62"/>
    <mergeCell ref="BF62:BJ62"/>
    <mergeCell ref="C60:M60"/>
    <mergeCell ref="O60:T60"/>
    <mergeCell ref="U60:Y60"/>
    <mergeCell ref="Z60:AD60"/>
    <mergeCell ref="AE60:AJ60"/>
    <mergeCell ref="AK60:AO60"/>
    <mergeCell ref="AP60:AT60"/>
    <mergeCell ref="AU60:AZ60"/>
    <mergeCell ref="BA63:BE63"/>
    <mergeCell ref="BF65:BJ65"/>
    <mergeCell ref="C66:M66"/>
    <mergeCell ref="O66:T66"/>
    <mergeCell ref="U66:Y66"/>
    <mergeCell ref="Z66:AD66"/>
    <mergeCell ref="AE66:AJ66"/>
    <mergeCell ref="AK66:AO66"/>
    <mergeCell ref="AP66:AT66"/>
    <mergeCell ref="AU66:AZ66"/>
    <mergeCell ref="BA64:BE64"/>
    <mergeCell ref="BF64:BJ64"/>
    <mergeCell ref="C63:M63"/>
    <mergeCell ref="O63:T63"/>
    <mergeCell ref="U63:Y63"/>
    <mergeCell ref="Z63:AD63"/>
    <mergeCell ref="AE63:AJ63"/>
    <mergeCell ref="AK63:AO63"/>
    <mergeCell ref="AP63:AT63"/>
    <mergeCell ref="AU63:AZ63"/>
    <mergeCell ref="A1:S2"/>
    <mergeCell ref="C82:D82"/>
    <mergeCell ref="F82:G82"/>
    <mergeCell ref="AP74:AT74"/>
    <mergeCell ref="AU74:AZ74"/>
    <mergeCell ref="BA74:BE74"/>
    <mergeCell ref="AK30:AO30"/>
    <mergeCell ref="BA30:BE30"/>
    <mergeCell ref="AK74:AO74"/>
    <mergeCell ref="AP70:AT70"/>
    <mergeCell ref="C69:M69"/>
    <mergeCell ref="O69:T69"/>
    <mergeCell ref="U69:Y69"/>
    <mergeCell ref="Z69:AD69"/>
    <mergeCell ref="AE69:AJ69"/>
    <mergeCell ref="AK69:AO69"/>
    <mergeCell ref="C68:M68"/>
    <mergeCell ref="BA69:BE69"/>
    <mergeCell ref="C70:M70"/>
    <mergeCell ref="O70:T70"/>
    <mergeCell ref="U70:Y70"/>
    <mergeCell ref="Z70:AD70"/>
    <mergeCell ref="AE70:AJ70"/>
    <mergeCell ref="AK70:AO70"/>
    <mergeCell ref="B83:D83"/>
    <mergeCell ref="BF74:BJ74"/>
    <mergeCell ref="BF72:BJ72"/>
    <mergeCell ref="AP72:AT72"/>
    <mergeCell ref="C71:M71"/>
    <mergeCell ref="O71:T71"/>
    <mergeCell ref="AU72:AZ72"/>
    <mergeCell ref="BA72:BE72"/>
    <mergeCell ref="C74:M74"/>
    <mergeCell ref="O74:T74"/>
    <mergeCell ref="U74:Y74"/>
    <mergeCell ref="Z74:AD74"/>
    <mergeCell ref="AE74:AJ74"/>
    <mergeCell ref="C72:M72"/>
    <mergeCell ref="O72:T72"/>
    <mergeCell ref="U72:Y72"/>
    <mergeCell ref="BF30:BJ30"/>
    <mergeCell ref="AP71:AT71"/>
    <mergeCell ref="AU71:AZ71"/>
    <mergeCell ref="BF70:BJ70"/>
    <mergeCell ref="BF71:BJ71"/>
    <mergeCell ref="AU70:AZ70"/>
    <mergeCell ref="Z72:AD72"/>
    <mergeCell ref="AE72:AJ72"/>
    <mergeCell ref="AK72:AO72"/>
    <mergeCell ref="BA71:BE71"/>
    <mergeCell ref="BF68:BJ68"/>
    <mergeCell ref="BF69:BJ69"/>
    <mergeCell ref="BA70:BE70"/>
    <mergeCell ref="BA65:BE65"/>
    <mergeCell ref="Z68:AD68"/>
    <mergeCell ref="AE68:AJ68"/>
    <mergeCell ref="AK68:AO68"/>
    <mergeCell ref="AP68:AT68"/>
    <mergeCell ref="AU68:AZ68"/>
    <mergeCell ref="BA68:BE68"/>
    <mergeCell ref="BA66:BE66"/>
    <mergeCell ref="BF66:BJ66"/>
    <mergeCell ref="Z65:AD65"/>
    <mergeCell ref="AE65:AJ65"/>
    <mergeCell ref="U71:Y71"/>
    <mergeCell ref="Z71:AD71"/>
    <mergeCell ref="AE71:AJ71"/>
    <mergeCell ref="AK71:AO71"/>
    <mergeCell ref="AP69:AT69"/>
    <mergeCell ref="AU69:AZ69"/>
    <mergeCell ref="C30:M30"/>
    <mergeCell ref="O30:T30"/>
    <mergeCell ref="U30:Y30"/>
    <mergeCell ref="Z30:AD30"/>
    <mergeCell ref="O68:T68"/>
    <mergeCell ref="U68:Y68"/>
    <mergeCell ref="C65:M65"/>
    <mergeCell ref="O65:T65"/>
    <mergeCell ref="U65:Y65"/>
    <mergeCell ref="AK65:AO65"/>
    <mergeCell ref="AP65:AT65"/>
    <mergeCell ref="AU65:AZ65"/>
    <mergeCell ref="Z32:AD32"/>
    <mergeCell ref="AE32:AJ32"/>
    <mergeCell ref="AK32:AO32"/>
    <mergeCell ref="AE30:AJ30"/>
    <mergeCell ref="AP30:AT30"/>
    <mergeCell ref="AU30:AZ30"/>
    <mergeCell ref="BA75:BE75"/>
    <mergeCell ref="BF75:BJ75"/>
    <mergeCell ref="C76:M76"/>
    <mergeCell ref="O76:T76"/>
    <mergeCell ref="AE76:AJ76"/>
    <mergeCell ref="AK76:AO76"/>
    <mergeCell ref="AP76:AT76"/>
    <mergeCell ref="AU76:AZ76"/>
    <mergeCell ref="BA76:BE76"/>
    <mergeCell ref="BF76:BJ76"/>
    <mergeCell ref="C75:M75"/>
    <mergeCell ref="O75:T75"/>
    <mergeCell ref="AE75:AJ75"/>
    <mergeCell ref="AK75:AO75"/>
    <mergeCell ref="AP75:AT75"/>
    <mergeCell ref="AU75:AZ75"/>
    <mergeCell ref="U75:Y75"/>
    <mergeCell ref="Z75:AD75"/>
    <mergeCell ref="C78:M78"/>
    <mergeCell ref="O78:T78"/>
    <mergeCell ref="AE78:AJ78"/>
    <mergeCell ref="AK78:AO78"/>
    <mergeCell ref="AP78:AT78"/>
    <mergeCell ref="AU78:AZ78"/>
    <mergeCell ref="U76:Y76"/>
    <mergeCell ref="Z76:AD76"/>
    <mergeCell ref="C77:M77"/>
    <mergeCell ref="O77:T77"/>
    <mergeCell ref="AE77:AJ77"/>
    <mergeCell ref="AK77:AO77"/>
    <mergeCell ref="BA78:BE78"/>
    <mergeCell ref="BF78:BJ78"/>
    <mergeCell ref="U77:Y77"/>
    <mergeCell ref="Z77:AD77"/>
    <mergeCell ref="U78:Y78"/>
    <mergeCell ref="Z78:AD78"/>
    <mergeCell ref="AP77:AT77"/>
    <mergeCell ref="AU77:AZ77"/>
    <mergeCell ref="BA77:BE77"/>
    <mergeCell ref="BF77:BJ77"/>
    <mergeCell ref="BA80:BE80"/>
    <mergeCell ref="BF80:BJ80"/>
    <mergeCell ref="AD82:AE82"/>
    <mergeCell ref="U80:Y80"/>
    <mergeCell ref="Z80:AD80"/>
    <mergeCell ref="C80:M80"/>
    <mergeCell ref="O80:T80"/>
    <mergeCell ref="AE80:AJ80"/>
    <mergeCell ref="AK80:AO80"/>
    <mergeCell ref="AP80:AT80"/>
    <mergeCell ref="AU80:AZ80"/>
  </mergeCells>
  <phoneticPr fontId="2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58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AS1" s="444">
        <f>'202'!A1+1</f>
        <v>203</v>
      </c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</row>
    <row r="2" spans="2:63" ht="11.1" customHeight="1"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</row>
    <row r="3" spans="2:63" ht="11.1" customHeight="1"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</row>
    <row r="4" spans="2:63" ht="11.1" customHeight="1"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</row>
    <row r="5" spans="2:63" ht="18" customHeight="1">
      <c r="B5" s="379" t="s">
        <v>631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</row>
    <row r="6" spans="2:63" ht="12.95" customHeight="1">
      <c r="BJ6" s="20" t="s">
        <v>630</v>
      </c>
    </row>
    <row r="7" spans="2:63">
      <c r="B7" s="411" t="s">
        <v>629</v>
      </c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 t="s">
        <v>423</v>
      </c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 t="s">
        <v>541</v>
      </c>
      <c r="AJ7" s="386"/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 t="s">
        <v>628</v>
      </c>
      <c r="BE7" s="386"/>
      <c r="BF7" s="386"/>
      <c r="BG7" s="386"/>
      <c r="BH7" s="386"/>
      <c r="BI7" s="386"/>
      <c r="BJ7" s="387"/>
    </row>
    <row r="8" spans="2:63">
      <c r="B8" s="412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470" t="s">
        <v>238</v>
      </c>
      <c r="O8" s="470"/>
      <c r="P8" s="470"/>
      <c r="Q8" s="470"/>
      <c r="R8" s="470"/>
      <c r="S8" s="470"/>
      <c r="T8" s="470"/>
      <c r="U8" s="385" t="s">
        <v>627</v>
      </c>
      <c r="V8" s="385"/>
      <c r="W8" s="385"/>
      <c r="X8" s="385"/>
      <c r="Y8" s="385"/>
      <c r="Z8" s="385"/>
      <c r="AA8" s="385"/>
      <c r="AB8" s="385" t="s">
        <v>626</v>
      </c>
      <c r="AC8" s="385"/>
      <c r="AD8" s="385"/>
      <c r="AE8" s="385"/>
      <c r="AF8" s="385"/>
      <c r="AG8" s="385"/>
      <c r="AH8" s="385"/>
      <c r="AI8" s="470" t="s">
        <v>238</v>
      </c>
      <c r="AJ8" s="470"/>
      <c r="AK8" s="470"/>
      <c r="AL8" s="470"/>
      <c r="AM8" s="470"/>
      <c r="AN8" s="470"/>
      <c r="AO8" s="470"/>
      <c r="AP8" s="385" t="s">
        <v>627</v>
      </c>
      <c r="AQ8" s="385"/>
      <c r="AR8" s="385"/>
      <c r="AS8" s="385"/>
      <c r="AT8" s="385"/>
      <c r="AU8" s="385"/>
      <c r="AV8" s="385"/>
      <c r="AW8" s="385" t="s">
        <v>626</v>
      </c>
      <c r="AX8" s="385"/>
      <c r="AY8" s="385"/>
      <c r="AZ8" s="385"/>
      <c r="BA8" s="385"/>
      <c r="BB8" s="385"/>
      <c r="BC8" s="385"/>
      <c r="BD8" s="385"/>
      <c r="BE8" s="385"/>
      <c r="BF8" s="385"/>
      <c r="BG8" s="385"/>
      <c r="BH8" s="385"/>
      <c r="BI8" s="385"/>
      <c r="BJ8" s="388"/>
    </row>
    <row r="9" spans="2:63"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6"/>
      <c r="N9" s="304"/>
      <c r="O9" s="304"/>
      <c r="P9" s="304"/>
      <c r="Q9" s="304"/>
      <c r="R9" s="304"/>
      <c r="S9" s="304"/>
      <c r="T9" s="304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4"/>
      <c r="AJ9" s="304"/>
      <c r="AK9" s="304"/>
      <c r="AL9" s="304"/>
      <c r="AM9" s="304"/>
      <c r="AN9" s="304"/>
      <c r="AO9" s="304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</row>
    <row r="10" spans="2:63">
      <c r="B10" s="305"/>
      <c r="C10" s="478" t="s">
        <v>7</v>
      </c>
      <c r="D10" s="478"/>
      <c r="E10" s="478"/>
      <c r="F10" s="478"/>
      <c r="G10" s="818">
        <v>21</v>
      </c>
      <c r="H10" s="818"/>
      <c r="I10" s="478" t="s">
        <v>424</v>
      </c>
      <c r="J10" s="478"/>
      <c r="K10" s="478"/>
      <c r="L10" s="478"/>
      <c r="M10" s="307"/>
      <c r="N10" s="421">
        <v>8243</v>
      </c>
      <c r="O10" s="409"/>
      <c r="P10" s="409"/>
      <c r="Q10" s="409"/>
      <c r="R10" s="409"/>
      <c r="S10" s="409"/>
      <c r="T10" s="409"/>
      <c r="U10" s="409">
        <v>6453</v>
      </c>
      <c r="V10" s="409"/>
      <c r="W10" s="409"/>
      <c r="X10" s="409"/>
      <c r="Y10" s="409"/>
      <c r="Z10" s="409"/>
      <c r="AA10" s="409"/>
      <c r="AB10" s="409">
        <v>1790</v>
      </c>
      <c r="AC10" s="409"/>
      <c r="AD10" s="409"/>
      <c r="AE10" s="409"/>
      <c r="AF10" s="409"/>
      <c r="AG10" s="409"/>
      <c r="AH10" s="409"/>
      <c r="AI10" s="409">
        <v>8070</v>
      </c>
      <c r="AJ10" s="409"/>
      <c r="AK10" s="409"/>
      <c r="AL10" s="409"/>
      <c r="AM10" s="409"/>
      <c r="AN10" s="409"/>
      <c r="AO10" s="409"/>
      <c r="AP10" s="409">
        <v>6311</v>
      </c>
      <c r="AQ10" s="409"/>
      <c r="AR10" s="409"/>
      <c r="AS10" s="409"/>
      <c r="AT10" s="409"/>
      <c r="AU10" s="409"/>
      <c r="AV10" s="409"/>
      <c r="AW10" s="409">
        <v>1759</v>
      </c>
      <c r="AX10" s="409"/>
      <c r="AY10" s="409"/>
      <c r="AZ10" s="409"/>
      <c r="BA10" s="409"/>
      <c r="BB10" s="409"/>
      <c r="BC10" s="409"/>
      <c r="BD10" s="409">
        <v>429</v>
      </c>
      <c r="BE10" s="409"/>
      <c r="BF10" s="409"/>
      <c r="BG10" s="409"/>
      <c r="BH10" s="409"/>
      <c r="BI10" s="409"/>
      <c r="BJ10" s="409"/>
    </row>
    <row r="11" spans="2:63">
      <c r="B11" s="305"/>
      <c r="C11" s="305"/>
      <c r="D11" s="305"/>
      <c r="E11" s="305"/>
      <c r="F11" s="305"/>
      <c r="G11" s="818">
        <v>22</v>
      </c>
      <c r="H11" s="818"/>
      <c r="I11" s="305"/>
      <c r="J11" s="305"/>
      <c r="K11" s="305"/>
      <c r="L11" s="305"/>
      <c r="M11" s="307"/>
      <c r="N11" s="421">
        <v>8414</v>
      </c>
      <c r="O11" s="409"/>
      <c r="P11" s="409"/>
      <c r="Q11" s="409"/>
      <c r="R11" s="409"/>
      <c r="S11" s="409"/>
      <c r="T11" s="409"/>
      <c r="U11" s="409">
        <v>6536</v>
      </c>
      <c r="V11" s="409"/>
      <c r="W11" s="409"/>
      <c r="X11" s="409"/>
      <c r="Y11" s="409"/>
      <c r="Z11" s="409"/>
      <c r="AA11" s="409"/>
      <c r="AB11" s="409">
        <v>1878</v>
      </c>
      <c r="AC11" s="409"/>
      <c r="AD11" s="409"/>
      <c r="AE11" s="409"/>
      <c r="AF11" s="409"/>
      <c r="AG11" s="409"/>
      <c r="AH11" s="409"/>
      <c r="AI11" s="409">
        <v>8204</v>
      </c>
      <c r="AJ11" s="409"/>
      <c r="AK11" s="409"/>
      <c r="AL11" s="409"/>
      <c r="AM11" s="409"/>
      <c r="AN11" s="409"/>
      <c r="AO11" s="409"/>
      <c r="AP11" s="409">
        <v>6355</v>
      </c>
      <c r="AQ11" s="409"/>
      <c r="AR11" s="409"/>
      <c r="AS11" s="409"/>
      <c r="AT11" s="409"/>
      <c r="AU11" s="409"/>
      <c r="AV11" s="409"/>
      <c r="AW11" s="409">
        <v>1849</v>
      </c>
      <c r="AX11" s="409"/>
      <c r="AY11" s="409"/>
      <c r="AZ11" s="409"/>
      <c r="BA11" s="409"/>
      <c r="BB11" s="409"/>
      <c r="BC11" s="409"/>
      <c r="BD11" s="409">
        <v>552</v>
      </c>
      <c r="BE11" s="409"/>
      <c r="BF11" s="409"/>
      <c r="BG11" s="409"/>
      <c r="BH11" s="409"/>
      <c r="BI11" s="409"/>
      <c r="BJ11" s="409"/>
    </row>
    <row r="12" spans="2:63">
      <c r="B12" s="305"/>
      <c r="C12" s="305"/>
      <c r="D12" s="305"/>
      <c r="E12" s="305"/>
      <c r="F12" s="305"/>
      <c r="G12" s="818">
        <v>23</v>
      </c>
      <c r="H12" s="818"/>
      <c r="I12" s="305"/>
      <c r="J12" s="305"/>
      <c r="K12" s="305"/>
      <c r="L12" s="305"/>
      <c r="M12" s="307"/>
      <c r="N12" s="421">
        <v>8818</v>
      </c>
      <c r="O12" s="409"/>
      <c r="P12" s="409"/>
      <c r="Q12" s="409"/>
      <c r="R12" s="409"/>
      <c r="S12" s="409"/>
      <c r="T12" s="409"/>
      <c r="U12" s="409">
        <v>6541</v>
      </c>
      <c r="V12" s="409"/>
      <c r="W12" s="409"/>
      <c r="X12" s="409"/>
      <c r="Y12" s="409"/>
      <c r="Z12" s="409"/>
      <c r="AA12" s="409"/>
      <c r="AB12" s="409">
        <v>2277</v>
      </c>
      <c r="AC12" s="409"/>
      <c r="AD12" s="409"/>
      <c r="AE12" s="409"/>
      <c r="AF12" s="409"/>
      <c r="AG12" s="409"/>
      <c r="AH12" s="409"/>
      <c r="AI12" s="409">
        <v>8547</v>
      </c>
      <c r="AJ12" s="409"/>
      <c r="AK12" s="409"/>
      <c r="AL12" s="409"/>
      <c r="AM12" s="409"/>
      <c r="AN12" s="409"/>
      <c r="AO12" s="409"/>
      <c r="AP12" s="409">
        <v>6352</v>
      </c>
      <c r="AQ12" s="409"/>
      <c r="AR12" s="409"/>
      <c r="AS12" s="409"/>
      <c r="AT12" s="409"/>
      <c r="AU12" s="409"/>
      <c r="AV12" s="409"/>
      <c r="AW12" s="409">
        <v>2195</v>
      </c>
      <c r="AX12" s="409"/>
      <c r="AY12" s="409"/>
      <c r="AZ12" s="409"/>
      <c r="BA12" s="409"/>
      <c r="BB12" s="409"/>
      <c r="BC12" s="409"/>
      <c r="BD12" s="409">
        <v>564</v>
      </c>
      <c r="BE12" s="409"/>
      <c r="BF12" s="409"/>
      <c r="BG12" s="409"/>
      <c r="BH12" s="409"/>
      <c r="BI12" s="409"/>
      <c r="BJ12" s="409"/>
    </row>
    <row r="13" spans="2:63">
      <c r="G13" s="818">
        <v>24</v>
      </c>
      <c r="H13" s="818"/>
      <c r="M13" s="22"/>
      <c r="N13" s="421">
        <v>9414</v>
      </c>
      <c r="O13" s="409"/>
      <c r="P13" s="409"/>
      <c r="Q13" s="409"/>
      <c r="R13" s="409"/>
      <c r="S13" s="409"/>
      <c r="T13" s="409"/>
      <c r="U13" s="409">
        <v>6541</v>
      </c>
      <c r="V13" s="409"/>
      <c r="W13" s="409"/>
      <c r="X13" s="409"/>
      <c r="Y13" s="409"/>
      <c r="Z13" s="409"/>
      <c r="AA13" s="409"/>
      <c r="AB13" s="409">
        <v>2873</v>
      </c>
      <c r="AC13" s="409"/>
      <c r="AD13" s="409"/>
      <c r="AE13" s="409"/>
      <c r="AF13" s="409"/>
      <c r="AG13" s="409"/>
      <c r="AH13" s="409"/>
      <c r="AI13" s="409">
        <v>9077</v>
      </c>
      <c r="AJ13" s="409"/>
      <c r="AK13" s="409"/>
      <c r="AL13" s="409"/>
      <c r="AM13" s="409"/>
      <c r="AN13" s="409"/>
      <c r="AO13" s="409"/>
      <c r="AP13" s="409">
        <v>6372</v>
      </c>
      <c r="AQ13" s="409"/>
      <c r="AR13" s="409"/>
      <c r="AS13" s="409"/>
      <c r="AT13" s="409"/>
      <c r="AU13" s="409"/>
      <c r="AV13" s="409"/>
      <c r="AW13" s="409">
        <v>2705</v>
      </c>
      <c r="AX13" s="409"/>
      <c r="AY13" s="409"/>
      <c r="AZ13" s="409"/>
      <c r="BA13" s="409"/>
      <c r="BB13" s="409"/>
      <c r="BC13" s="409"/>
      <c r="BD13" s="409">
        <v>523</v>
      </c>
      <c r="BE13" s="409"/>
      <c r="BF13" s="409"/>
      <c r="BG13" s="409"/>
      <c r="BH13" s="409"/>
      <c r="BI13" s="409"/>
      <c r="BJ13" s="409"/>
    </row>
    <row r="14" spans="2:63">
      <c r="C14" s="299"/>
      <c r="D14" s="299"/>
      <c r="E14" s="299"/>
      <c r="F14" s="299"/>
      <c r="G14" s="819">
        <v>25</v>
      </c>
      <c r="H14" s="819"/>
      <c r="I14" s="299"/>
      <c r="J14" s="299"/>
      <c r="K14" s="299"/>
      <c r="L14" s="299"/>
      <c r="M14" s="22"/>
      <c r="N14" s="396">
        <f>SUM(N16:T21)</f>
        <v>9885</v>
      </c>
      <c r="O14" s="396"/>
      <c r="P14" s="396"/>
      <c r="Q14" s="396"/>
      <c r="R14" s="396"/>
      <c r="S14" s="396"/>
      <c r="T14" s="396"/>
      <c r="U14" s="396">
        <f>SUM(U16:AA21)</f>
        <v>6567</v>
      </c>
      <c r="V14" s="396"/>
      <c r="W14" s="396"/>
      <c r="X14" s="396"/>
      <c r="Y14" s="396"/>
      <c r="Z14" s="396"/>
      <c r="AA14" s="396"/>
      <c r="AB14" s="396">
        <f>SUM(AB16:AH21)</f>
        <v>3318</v>
      </c>
      <c r="AC14" s="396"/>
      <c r="AD14" s="396"/>
      <c r="AE14" s="396"/>
      <c r="AF14" s="396"/>
      <c r="AG14" s="396"/>
      <c r="AH14" s="396"/>
      <c r="AI14" s="396">
        <f>SUM(AI16:AO21)</f>
        <v>9600</v>
      </c>
      <c r="AJ14" s="396"/>
      <c r="AK14" s="396"/>
      <c r="AL14" s="396"/>
      <c r="AM14" s="396"/>
      <c r="AN14" s="396"/>
      <c r="AO14" s="396"/>
      <c r="AP14" s="396">
        <f>SUM(AP16:AV21)</f>
        <v>6386</v>
      </c>
      <c r="AQ14" s="396"/>
      <c r="AR14" s="396"/>
      <c r="AS14" s="396"/>
      <c r="AT14" s="396"/>
      <c r="AU14" s="396"/>
      <c r="AV14" s="396"/>
      <c r="AW14" s="396">
        <f>SUM(AW16:BC21)</f>
        <v>3214</v>
      </c>
      <c r="AX14" s="396"/>
      <c r="AY14" s="396"/>
      <c r="AZ14" s="396"/>
      <c r="BA14" s="396"/>
      <c r="BB14" s="396"/>
      <c r="BC14" s="396"/>
      <c r="BD14" s="396">
        <f>SUM(BD16:BJ21)</f>
        <v>578</v>
      </c>
      <c r="BE14" s="396"/>
      <c r="BF14" s="396"/>
      <c r="BG14" s="396"/>
      <c r="BH14" s="396"/>
      <c r="BI14" s="396"/>
      <c r="BJ14" s="396"/>
    </row>
    <row r="15" spans="2:63">
      <c r="M15" s="22"/>
    </row>
    <row r="16" spans="2:63">
      <c r="C16" s="817" t="s">
        <v>625</v>
      </c>
      <c r="D16" s="817"/>
      <c r="E16" s="817"/>
      <c r="F16" s="817"/>
      <c r="G16" s="817"/>
      <c r="H16" s="817"/>
      <c r="I16" s="817"/>
      <c r="J16" s="380" t="s">
        <v>624</v>
      </c>
      <c r="K16" s="380"/>
      <c r="L16" s="380"/>
      <c r="M16" s="22"/>
      <c r="N16" s="391">
        <f>SUM(U16:AH16)</f>
        <v>796</v>
      </c>
      <c r="O16" s="391"/>
      <c r="P16" s="391"/>
      <c r="Q16" s="391"/>
      <c r="R16" s="391"/>
      <c r="S16" s="391"/>
      <c r="T16" s="391"/>
      <c r="U16" s="418">
        <v>532</v>
      </c>
      <c r="V16" s="418"/>
      <c r="W16" s="418"/>
      <c r="X16" s="418"/>
      <c r="Y16" s="418"/>
      <c r="Z16" s="418"/>
      <c r="AA16" s="418"/>
      <c r="AB16" s="418">
        <v>264</v>
      </c>
      <c r="AC16" s="418"/>
      <c r="AD16" s="418"/>
      <c r="AE16" s="418"/>
      <c r="AF16" s="418"/>
      <c r="AG16" s="418"/>
      <c r="AH16" s="418"/>
      <c r="AI16" s="391">
        <f t="shared" ref="AI16:AI21" si="0">SUM(AP16,AW16)</f>
        <v>771</v>
      </c>
      <c r="AJ16" s="391"/>
      <c r="AK16" s="391"/>
      <c r="AL16" s="391"/>
      <c r="AM16" s="391"/>
      <c r="AN16" s="391"/>
      <c r="AO16" s="391"/>
      <c r="AP16" s="418">
        <v>509</v>
      </c>
      <c r="AQ16" s="418"/>
      <c r="AR16" s="418"/>
      <c r="AS16" s="418"/>
      <c r="AT16" s="418"/>
      <c r="AU16" s="418"/>
      <c r="AV16" s="418"/>
      <c r="AW16" s="418">
        <v>262</v>
      </c>
      <c r="AX16" s="418"/>
      <c r="AY16" s="418"/>
      <c r="AZ16" s="418"/>
      <c r="BA16" s="418"/>
      <c r="BB16" s="418"/>
      <c r="BC16" s="418"/>
      <c r="BD16" s="418">
        <v>76</v>
      </c>
      <c r="BE16" s="418"/>
      <c r="BF16" s="418"/>
      <c r="BG16" s="418"/>
      <c r="BH16" s="418"/>
      <c r="BI16" s="418"/>
      <c r="BJ16" s="418"/>
    </row>
    <row r="17" spans="2:62">
      <c r="C17" s="817" t="s">
        <v>623</v>
      </c>
      <c r="D17" s="817"/>
      <c r="E17" s="817"/>
      <c r="F17" s="817"/>
      <c r="G17" s="817"/>
      <c r="H17" s="817"/>
      <c r="I17" s="817"/>
      <c r="M17" s="22"/>
      <c r="N17" s="391">
        <f>SUM(U17:AH17)</f>
        <v>1526</v>
      </c>
      <c r="O17" s="391"/>
      <c r="P17" s="391"/>
      <c r="Q17" s="391"/>
      <c r="R17" s="391"/>
      <c r="S17" s="391"/>
      <c r="T17" s="391"/>
      <c r="U17" s="418">
        <v>1011</v>
      </c>
      <c r="V17" s="418"/>
      <c r="W17" s="418"/>
      <c r="X17" s="418"/>
      <c r="Y17" s="418"/>
      <c r="Z17" s="418"/>
      <c r="AA17" s="418"/>
      <c r="AB17" s="418">
        <v>515</v>
      </c>
      <c r="AC17" s="418"/>
      <c r="AD17" s="418"/>
      <c r="AE17" s="418"/>
      <c r="AF17" s="418"/>
      <c r="AG17" s="418"/>
      <c r="AH17" s="418"/>
      <c r="AI17" s="391">
        <f t="shared" si="0"/>
        <v>1514</v>
      </c>
      <c r="AJ17" s="391"/>
      <c r="AK17" s="391"/>
      <c r="AL17" s="391"/>
      <c r="AM17" s="391"/>
      <c r="AN17" s="391"/>
      <c r="AO17" s="391"/>
      <c r="AP17" s="418">
        <v>1003</v>
      </c>
      <c r="AQ17" s="418"/>
      <c r="AR17" s="418"/>
      <c r="AS17" s="418"/>
      <c r="AT17" s="418"/>
      <c r="AU17" s="418"/>
      <c r="AV17" s="418"/>
      <c r="AW17" s="418">
        <v>511</v>
      </c>
      <c r="AX17" s="418"/>
      <c r="AY17" s="418"/>
      <c r="AZ17" s="418"/>
      <c r="BA17" s="418"/>
      <c r="BB17" s="418"/>
      <c r="BC17" s="418"/>
      <c r="BD17" s="418">
        <v>300</v>
      </c>
      <c r="BE17" s="418"/>
      <c r="BF17" s="418"/>
      <c r="BG17" s="418"/>
      <c r="BH17" s="418"/>
      <c r="BI17" s="418"/>
      <c r="BJ17" s="418"/>
    </row>
    <row r="18" spans="2:62">
      <c r="C18" s="817" t="s">
        <v>622</v>
      </c>
      <c r="D18" s="817"/>
      <c r="E18" s="817"/>
      <c r="F18" s="817"/>
      <c r="G18" s="817"/>
      <c r="H18" s="817"/>
      <c r="I18" s="817"/>
      <c r="M18" s="22"/>
      <c r="N18" s="391">
        <f>SUM(U18:AH18)</f>
        <v>1772</v>
      </c>
      <c r="O18" s="391"/>
      <c r="P18" s="391"/>
      <c r="Q18" s="391"/>
      <c r="R18" s="391"/>
      <c r="S18" s="391"/>
      <c r="T18" s="391"/>
      <c r="U18" s="418">
        <v>1152</v>
      </c>
      <c r="V18" s="418"/>
      <c r="W18" s="418"/>
      <c r="X18" s="418"/>
      <c r="Y18" s="418"/>
      <c r="Z18" s="418"/>
      <c r="AA18" s="418"/>
      <c r="AB18" s="418">
        <v>620</v>
      </c>
      <c r="AC18" s="418"/>
      <c r="AD18" s="418"/>
      <c r="AE18" s="418"/>
      <c r="AF18" s="418"/>
      <c r="AG18" s="418"/>
      <c r="AH18" s="418"/>
      <c r="AI18" s="391">
        <f t="shared" si="0"/>
        <v>1769</v>
      </c>
      <c r="AJ18" s="391"/>
      <c r="AK18" s="391"/>
      <c r="AL18" s="391"/>
      <c r="AM18" s="391"/>
      <c r="AN18" s="391"/>
      <c r="AO18" s="391"/>
      <c r="AP18" s="418">
        <v>1150</v>
      </c>
      <c r="AQ18" s="418"/>
      <c r="AR18" s="418"/>
      <c r="AS18" s="418"/>
      <c r="AT18" s="418"/>
      <c r="AU18" s="418"/>
      <c r="AV18" s="418"/>
      <c r="AW18" s="418">
        <v>619</v>
      </c>
      <c r="AX18" s="418"/>
      <c r="AY18" s="418"/>
      <c r="AZ18" s="418"/>
      <c r="BA18" s="418"/>
      <c r="BB18" s="418"/>
      <c r="BC18" s="418"/>
      <c r="BD18" s="418">
        <v>150</v>
      </c>
      <c r="BE18" s="418"/>
      <c r="BF18" s="418"/>
      <c r="BG18" s="418"/>
      <c r="BH18" s="418"/>
      <c r="BI18" s="418"/>
      <c r="BJ18" s="418"/>
    </row>
    <row r="19" spans="2:62">
      <c r="C19" s="817" t="s">
        <v>621</v>
      </c>
      <c r="D19" s="817"/>
      <c r="E19" s="817"/>
      <c r="F19" s="817"/>
      <c r="G19" s="817"/>
      <c r="H19" s="817"/>
      <c r="I19" s="817"/>
      <c r="M19" s="22"/>
      <c r="N19" s="409">
        <f>SUM(U19:AA21,AB19)</f>
        <v>5791</v>
      </c>
      <c r="O19" s="393"/>
      <c r="P19" s="393"/>
      <c r="Q19" s="393"/>
      <c r="R19" s="393"/>
      <c r="S19" s="393"/>
      <c r="T19" s="393"/>
      <c r="U19" s="418">
        <v>1240</v>
      </c>
      <c r="V19" s="418"/>
      <c r="W19" s="418"/>
      <c r="X19" s="418"/>
      <c r="Y19" s="418"/>
      <c r="Z19" s="418"/>
      <c r="AA19" s="418"/>
      <c r="AB19" s="414">
        <v>1919</v>
      </c>
      <c r="AC19" s="414"/>
      <c r="AD19" s="414"/>
      <c r="AE19" s="414"/>
      <c r="AF19" s="414"/>
      <c r="AG19" s="414"/>
      <c r="AH19" s="414"/>
      <c r="AI19" s="391">
        <f t="shared" si="0"/>
        <v>1884</v>
      </c>
      <c r="AJ19" s="391"/>
      <c r="AK19" s="391"/>
      <c r="AL19" s="391"/>
      <c r="AM19" s="391"/>
      <c r="AN19" s="391"/>
      <c r="AO19" s="391"/>
      <c r="AP19" s="418">
        <v>1225</v>
      </c>
      <c r="AQ19" s="418"/>
      <c r="AR19" s="418"/>
      <c r="AS19" s="418"/>
      <c r="AT19" s="418"/>
      <c r="AU19" s="418"/>
      <c r="AV19" s="418"/>
      <c r="AW19" s="418">
        <v>659</v>
      </c>
      <c r="AX19" s="418"/>
      <c r="AY19" s="418"/>
      <c r="AZ19" s="418"/>
      <c r="BA19" s="418"/>
      <c r="BB19" s="418"/>
      <c r="BC19" s="418"/>
      <c r="BD19" s="418">
        <v>51</v>
      </c>
      <c r="BE19" s="418"/>
      <c r="BF19" s="418"/>
      <c r="BG19" s="418"/>
      <c r="BH19" s="418"/>
      <c r="BI19" s="418"/>
      <c r="BJ19" s="418"/>
    </row>
    <row r="20" spans="2:62">
      <c r="C20" s="817" t="s">
        <v>620</v>
      </c>
      <c r="D20" s="817"/>
      <c r="E20" s="817"/>
      <c r="F20" s="817"/>
      <c r="G20" s="817"/>
      <c r="H20" s="817"/>
      <c r="I20" s="817"/>
      <c r="M20" s="22"/>
      <c r="N20" s="635"/>
      <c r="O20" s="393"/>
      <c r="P20" s="393"/>
      <c r="Q20" s="393"/>
      <c r="R20" s="393"/>
      <c r="S20" s="393"/>
      <c r="T20" s="393"/>
      <c r="U20" s="418">
        <v>1302</v>
      </c>
      <c r="V20" s="418"/>
      <c r="W20" s="418"/>
      <c r="X20" s="418"/>
      <c r="Y20" s="418"/>
      <c r="Z20" s="418"/>
      <c r="AA20" s="418"/>
      <c r="AB20" s="414"/>
      <c r="AC20" s="414"/>
      <c r="AD20" s="414"/>
      <c r="AE20" s="414"/>
      <c r="AF20" s="414"/>
      <c r="AG20" s="414"/>
      <c r="AH20" s="414"/>
      <c r="AI20" s="391">
        <f t="shared" si="0"/>
        <v>1895</v>
      </c>
      <c r="AJ20" s="391"/>
      <c r="AK20" s="391"/>
      <c r="AL20" s="391"/>
      <c r="AM20" s="391"/>
      <c r="AN20" s="391"/>
      <c r="AO20" s="391"/>
      <c r="AP20" s="418">
        <v>1259</v>
      </c>
      <c r="AQ20" s="418"/>
      <c r="AR20" s="418"/>
      <c r="AS20" s="418"/>
      <c r="AT20" s="418"/>
      <c r="AU20" s="418"/>
      <c r="AV20" s="418"/>
      <c r="AW20" s="418">
        <v>636</v>
      </c>
      <c r="AX20" s="418"/>
      <c r="AY20" s="418"/>
      <c r="AZ20" s="418"/>
      <c r="BA20" s="418"/>
      <c r="BB20" s="418"/>
      <c r="BC20" s="418"/>
      <c r="BD20" s="414">
        <v>1</v>
      </c>
      <c r="BE20" s="414"/>
      <c r="BF20" s="414"/>
      <c r="BG20" s="414"/>
      <c r="BH20" s="414"/>
      <c r="BI20" s="414"/>
      <c r="BJ20" s="414"/>
    </row>
    <row r="21" spans="2:62">
      <c r="C21" s="817" t="s">
        <v>619</v>
      </c>
      <c r="D21" s="817"/>
      <c r="E21" s="817"/>
      <c r="F21" s="817"/>
      <c r="G21" s="817"/>
      <c r="H21" s="817"/>
      <c r="I21" s="817"/>
      <c r="M21" s="22"/>
      <c r="N21" s="635"/>
      <c r="O21" s="393"/>
      <c r="P21" s="393"/>
      <c r="Q21" s="393"/>
      <c r="R21" s="393"/>
      <c r="S21" s="393"/>
      <c r="T21" s="393"/>
      <c r="U21" s="418">
        <v>1330</v>
      </c>
      <c r="V21" s="418"/>
      <c r="W21" s="418"/>
      <c r="X21" s="418"/>
      <c r="Y21" s="418"/>
      <c r="Z21" s="418"/>
      <c r="AA21" s="418"/>
      <c r="AB21" s="414"/>
      <c r="AC21" s="414"/>
      <c r="AD21" s="414"/>
      <c r="AE21" s="414"/>
      <c r="AF21" s="414"/>
      <c r="AG21" s="414"/>
      <c r="AH21" s="414"/>
      <c r="AI21" s="391">
        <f t="shared" si="0"/>
        <v>1767</v>
      </c>
      <c r="AJ21" s="391"/>
      <c r="AK21" s="391"/>
      <c r="AL21" s="391"/>
      <c r="AM21" s="391"/>
      <c r="AN21" s="391"/>
      <c r="AO21" s="391"/>
      <c r="AP21" s="418">
        <v>1240</v>
      </c>
      <c r="AQ21" s="418"/>
      <c r="AR21" s="418"/>
      <c r="AS21" s="418"/>
      <c r="AT21" s="418"/>
      <c r="AU21" s="418"/>
      <c r="AV21" s="418"/>
      <c r="AW21" s="418">
        <v>527</v>
      </c>
      <c r="AX21" s="418"/>
      <c r="AY21" s="418"/>
      <c r="AZ21" s="418"/>
      <c r="BA21" s="418"/>
      <c r="BB21" s="418"/>
      <c r="BC21" s="418"/>
      <c r="BD21" s="414">
        <v>0</v>
      </c>
      <c r="BE21" s="414"/>
      <c r="BF21" s="414"/>
      <c r="BG21" s="414"/>
      <c r="BH21" s="414"/>
      <c r="BI21" s="414"/>
      <c r="BJ21" s="414"/>
    </row>
    <row r="22" spans="2:6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2:62">
      <c r="C23" s="400" t="s">
        <v>8</v>
      </c>
      <c r="D23" s="400"/>
      <c r="E23" s="297" t="s">
        <v>475</v>
      </c>
      <c r="F23" s="2" t="s">
        <v>618</v>
      </c>
    </row>
    <row r="24" spans="2:62">
      <c r="B24" s="404" t="s">
        <v>9</v>
      </c>
      <c r="C24" s="404"/>
      <c r="D24" s="404"/>
      <c r="E24" s="297" t="s">
        <v>475</v>
      </c>
      <c r="F24" s="2" t="s">
        <v>546</v>
      </c>
    </row>
    <row r="28" spans="2:62" ht="18" customHeight="1">
      <c r="B28" s="379" t="s">
        <v>617</v>
      </c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79"/>
      <c r="AR28" s="379"/>
      <c r="AS28" s="379"/>
      <c r="AT28" s="379"/>
      <c r="AU28" s="379"/>
      <c r="AV28" s="379"/>
      <c r="AW28" s="379"/>
      <c r="AX28" s="379"/>
      <c r="AY28" s="379"/>
      <c r="AZ28" s="379"/>
      <c r="BA28" s="379"/>
      <c r="BB28" s="379"/>
      <c r="BC28" s="379"/>
      <c r="BD28" s="379"/>
      <c r="BE28" s="379"/>
      <c r="BF28" s="379"/>
      <c r="BG28" s="379"/>
      <c r="BH28" s="379"/>
      <c r="BI28" s="379"/>
      <c r="BJ28" s="379"/>
    </row>
    <row r="29" spans="2:62" ht="12.95" customHeight="1"/>
    <row r="30" spans="2:62">
      <c r="B30" s="411" t="s">
        <v>1</v>
      </c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 t="s">
        <v>422</v>
      </c>
      <c r="P30" s="386"/>
      <c r="Q30" s="386"/>
      <c r="R30" s="386"/>
      <c r="S30" s="386"/>
      <c r="T30" s="386"/>
      <c r="U30" s="386" t="s">
        <v>423</v>
      </c>
      <c r="V30" s="386"/>
      <c r="W30" s="386"/>
      <c r="X30" s="386"/>
      <c r="Y30" s="386"/>
      <c r="Z30" s="386"/>
      <c r="AA30" s="386" t="s">
        <v>541</v>
      </c>
      <c r="AB30" s="386"/>
      <c r="AC30" s="386"/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86"/>
      <c r="AO30" s="386"/>
      <c r="AP30" s="386"/>
      <c r="AQ30" s="386"/>
      <c r="AR30" s="386"/>
      <c r="AS30" s="386"/>
      <c r="AT30" s="386"/>
      <c r="AU30" s="386"/>
      <c r="AV30" s="386"/>
      <c r="AW30" s="386"/>
      <c r="AX30" s="386"/>
      <c r="AY30" s="386"/>
      <c r="AZ30" s="386"/>
      <c r="BA30" s="386"/>
      <c r="BB30" s="386"/>
      <c r="BC30" s="386"/>
      <c r="BD30" s="386"/>
      <c r="BE30" s="386"/>
      <c r="BF30" s="386"/>
      <c r="BG30" s="386"/>
      <c r="BH30" s="386"/>
      <c r="BI30" s="386"/>
      <c r="BJ30" s="387"/>
    </row>
    <row r="31" spans="2:62">
      <c r="B31" s="412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470" t="s">
        <v>238</v>
      </c>
      <c r="AB31" s="470"/>
      <c r="AC31" s="470"/>
      <c r="AD31" s="470"/>
      <c r="AE31" s="470"/>
      <c r="AF31" s="470"/>
      <c r="AG31" s="385" t="s">
        <v>612</v>
      </c>
      <c r="AH31" s="385"/>
      <c r="AI31" s="385"/>
      <c r="AJ31" s="385"/>
      <c r="AK31" s="385"/>
      <c r="AL31" s="385"/>
      <c r="AM31" s="385" t="s">
        <v>611</v>
      </c>
      <c r="AN31" s="385"/>
      <c r="AO31" s="385"/>
      <c r="AP31" s="385"/>
      <c r="AQ31" s="385"/>
      <c r="AR31" s="385"/>
      <c r="AS31" s="385" t="s">
        <v>610</v>
      </c>
      <c r="AT31" s="385"/>
      <c r="AU31" s="385"/>
      <c r="AV31" s="385"/>
      <c r="AW31" s="385"/>
      <c r="AX31" s="385"/>
      <c r="AY31" s="385" t="s">
        <v>609</v>
      </c>
      <c r="AZ31" s="385"/>
      <c r="BA31" s="385"/>
      <c r="BB31" s="385"/>
      <c r="BC31" s="385"/>
      <c r="BD31" s="385"/>
      <c r="BE31" s="385" t="s">
        <v>608</v>
      </c>
      <c r="BF31" s="385"/>
      <c r="BG31" s="385"/>
      <c r="BH31" s="385"/>
      <c r="BI31" s="385"/>
      <c r="BJ31" s="388"/>
    </row>
    <row r="32" spans="2:62">
      <c r="N32" s="21"/>
    </row>
    <row r="33" spans="2:62">
      <c r="C33" s="389" t="s">
        <v>7</v>
      </c>
      <c r="D33" s="389"/>
      <c r="E33" s="389"/>
      <c r="F33" s="389"/>
      <c r="G33" s="380">
        <v>21</v>
      </c>
      <c r="H33" s="380"/>
      <c r="I33" s="380"/>
      <c r="J33" s="389" t="s">
        <v>1</v>
      </c>
      <c r="K33" s="389"/>
      <c r="L33" s="389"/>
      <c r="M33" s="389"/>
      <c r="N33" s="22"/>
      <c r="O33" s="806">
        <v>9</v>
      </c>
      <c r="P33" s="806"/>
      <c r="Q33" s="806"/>
      <c r="R33" s="806"/>
      <c r="S33" s="806"/>
      <c r="T33" s="806"/>
      <c r="U33" s="806">
        <v>169</v>
      </c>
      <c r="V33" s="806"/>
      <c r="W33" s="806"/>
      <c r="X33" s="806"/>
      <c r="Y33" s="806"/>
      <c r="Z33" s="806"/>
      <c r="AA33" s="414">
        <f>SUM(AG33:BJ33)</f>
        <v>1850</v>
      </c>
      <c r="AB33" s="414"/>
      <c r="AC33" s="414"/>
      <c r="AD33" s="414"/>
      <c r="AE33" s="414"/>
      <c r="AF33" s="414"/>
      <c r="AG33" s="414">
        <v>690</v>
      </c>
      <c r="AH33" s="414"/>
      <c r="AI33" s="414"/>
      <c r="AJ33" s="414"/>
      <c r="AK33" s="414"/>
      <c r="AL33" s="414"/>
      <c r="AM33" s="414">
        <v>575</v>
      </c>
      <c r="AN33" s="414"/>
      <c r="AO33" s="414"/>
      <c r="AP33" s="414"/>
      <c r="AQ33" s="414"/>
      <c r="AR33" s="414"/>
      <c r="AS33" s="414">
        <v>299</v>
      </c>
      <c r="AT33" s="414"/>
      <c r="AU33" s="414"/>
      <c r="AV33" s="414"/>
      <c r="AW33" s="414"/>
      <c r="AX33" s="414"/>
      <c r="AY33" s="414">
        <v>171</v>
      </c>
      <c r="AZ33" s="414"/>
      <c r="BA33" s="414"/>
      <c r="BB33" s="414"/>
      <c r="BC33" s="414"/>
      <c r="BD33" s="414"/>
      <c r="BE33" s="414">
        <v>115</v>
      </c>
      <c r="BF33" s="414"/>
      <c r="BG33" s="414"/>
      <c r="BH33" s="414"/>
      <c r="BI33" s="414"/>
      <c r="BJ33" s="414"/>
    </row>
    <row r="34" spans="2:62">
      <c r="G34" s="380">
        <v>22</v>
      </c>
      <c r="H34" s="380"/>
      <c r="I34" s="380"/>
      <c r="N34" s="22"/>
      <c r="O34" s="806">
        <v>7</v>
      </c>
      <c r="P34" s="806"/>
      <c r="Q34" s="806"/>
      <c r="R34" s="806"/>
      <c r="S34" s="806"/>
      <c r="T34" s="806"/>
      <c r="U34" s="806">
        <v>140</v>
      </c>
      <c r="V34" s="806"/>
      <c r="W34" s="806"/>
      <c r="X34" s="806"/>
      <c r="Y34" s="806"/>
      <c r="Z34" s="806"/>
      <c r="AA34" s="414">
        <f>SUM(AG34:BJ34)</f>
        <v>1584</v>
      </c>
      <c r="AB34" s="414"/>
      <c r="AC34" s="414"/>
      <c r="AD34" s="414"/>
      <c r="AE34" s="414"/>
      <c r="AF34" s="414"/>
      <c r="AG34" s="414">
        <v>546</v>
      </c>
      <c r="AH34" s="414"/>
      <c r="AI34" s="414"/>
      <c r="AJ34" s="414"/>
      <c r="AK34" s="414"/>
      <c r="AL34" s="414"/>
      <c r="AM34" s="414">
        <v>593</v>
      </c>
      <c r="AN34" s="414"/>
      <c r="AO34" s="414"/>
      <c r="AP34" s="414"/>
      <c r="AQ34" s="414"/>
      <c r="AR34" s="414"/>
      <c r="AS34" s="414">
        <v>265</v>
      </c>
      <c r="AT34" s="414"/>
      <c r="AU34" s="414"/>
      <c r="AV34" s="414"/>
      <c r="AW34" s="414"/>
      <c r="AX34" s="414"/>
      <c r="AY34" s="414">
        <v>131</v>
      </c>
      <c r="AZ34" s="414"/>
      <c r="BA34" s="414"/>
      <c r="BB34" s="414"/>
      <c r="BC34" s="414"/>
      <c r="BD34" s="414"/>
      <c r="BE34" s="414">
        <v>49</v>
      </c>
      <c r="BF34" s="414"/>
      <c r="BG34" s="414"/>
      <c r="BH34" s="414"/>
      <c r="BI34" s="414"/>
      <c r="BJ34" s="414"/>
    </row>
    <row r="35" spans="2:62">
      <c r="G35" s="380">
        <v>23</v>
      </c>
      <c r="H35" s="380"/>
      <c r="I35" s="380"/>
      <c r="N35" s="22"/>
      <c r="O35" s="806">
        <v>7</v>
      </c>
      <c r="P35" s="806"/>
      <c r="Q35" s="806"/>
      <c r="R35" s="806"/>
      <c r="S35" s="806"/>
      <c r="T35" s="806"/>
      <c r="U35" s="806">
        <v>140</v>
      </c>
      <c r="V35" s="806"/>
      <c r="W35" s="806"/>
      <c r="X35" s="806"/>
      <c r="Y35" s="806"/>
      <c r="Z35" s="806"/>
      <c r="AA35" s="414">
        <f>SUM(AG35:BJ35)</f>
        <v>1492</v>
      </c>
      <c r="AB35" s="414"/>
      <c r="AC35" s="414"/>
      <c r="AD35" s="414"/>
      <c r="AE35" s="414"/>
      <c r="AF35" s="414"/>
      <c r="AG35" s="414">
        <v>635</v>
      </c>
      <c r="AH35" s="414"/>
      <c r="AI35" s="414"/>
      <c r="AJ35" s="414"/>
      <c r="AK35" s="414"/>
      <c r="AL35" s="414"/>
      <c r="AM35" s="414">
        <v>394</v>
      </c>
      <c r="AN35" s="414"/>
      <c r="AO35" s="414"/>
      <c r="AP35" s="414"/>
      <c r="AQ35" s="414"/>
      <c r="AR35" s="414"/>
      <c r="AS35" s="414">
        <v>289</v>
      </c>
      <c r="AT35" s="414"/>
      <c r="AU35" s="414"/>
      <c r="AV35" s="414"/>
      <c r="AW35" s="414"/>
      <c r="AX35" s="414"/>
      <c r="AY35" s="414">
        <v>129</v>
      </c>
      <c r="AZ35" s="414"/>
      <c r="BA35" s="414"/>
      <c r="BB35" s="414"/>
      <c r="BC35" s="414"/>
      <c r="BD35" s="414"/>
      <c r="BE35" s="414">
        <v>45</v>
      </c>
      <c r="BF35" s="414"/>
      <c r="BG35" s="414"/>
      <c r="BH35" s="414"/>
      <c r="BI35" s="414"/>
      <c r="BJ35" s="414"/>
    </row>
    <row r="36" spans="2:62">
      <c r="G36" s="380">
        <v>24</v>
      </c>
      <c r="H36" s="380"/>
      <c r="I36" s="380"/>
      <c r="N36" s="22"/>
      <c r="O36" s="806">
        <v>5</v>
      </c>
      <c r="P36" s="806"/>
      <c r="Q36" s="806"/>
      <c r="R36" s="806"/>
      <c r="S36" s="806"/>
      <c r="T36" s="806"/>
      <c r="U36" s="806">
        <v>133</v>
      </c>
      <c r="V36" s="806"/>
      <c r="W36" s="806"/>
      <c r="X36" s="806"/>
      <c r="Y36" s="806"/>
      <c r="Z36" s="806"/>
      <c r="AA36" s="414">
        <f>SUM(AG36:BJ36)</f>
        <v>1265</v>
      </c>
      <c r="AB36" s="414"/>
      <c r="AC36" s="414"/>
      <c r="AD36" s="414"/>
      <c r="AE36" s="414"/>
      <c r="AF36" s="414"/>
      <c r="AG36" s="414">
        <v>266</v>
      </c>
      <c r="AH36" s="414"/>
      <c r="AI36" s="414"/>
      <c r="AJ36" s="414"/>
      <c r="AK36" s="414"/>
      <c r="AL36" s="414"/>
      <c r="AM36" s="414">
        <v>450</v>
      </c>
      <c r="AN36" s="414"/>
      <c r="AO36" s="414"/>
      <c r="AP36" s="414"/>
      <c r="AQ36" s="414"/>
      <c r="AR36" s="414"/>
      <c r="AS36" s="414">
        <v>166</v>
      </c>
      <c r="AT36" s="414"/>
      <c r="AU36" s="414"/>
      <c r="AV36" s="414"/>
      <c r="AW36" s="414"/>
      <c r="AX36" s="414"/>
      <c r="AY36" s="414">
        <v>142</v>
      </c>
      <c r="AZ36" s="414"/>
      <c r="BA36" s="414"/>
      <c r="BB36" s="414"/>
      <c r="BC36" s="414"/>
      <c r="BD36" s="414"/>
      <c r="BE36" s="414">
        <v>241</v>
      </c>
      <c r="BF36" s="414"/>
      <c r="BG36" s="414"/>
      <c r="BH36" s="414"/>
      <c r="BI36" s="414"/>
      <c r="BJ36" s="414"/>
    </row>
    <row r="37" spans="2:62">
      <c r="G37" s="392">
        <v>25</v>
      </c>
      <c r="H37" s="392"/>
      <c r="I37" s="392"/>
      <c r="N37" s="22"/>
      <c r="O37" s="814">
        <v>4</v>
      </c>
      <c r="P37" s="814"/>
      <c r="Q37" s="814"/>
      <c r="R37" s="814"/>
      <c r="S37" s="814"/>
      <c r="T37" s="814"/>
      <c r="U37" s="814">
        <v>93</v>
      </c>
      <c r="V37" s="814"/>
      <c r="W37" s="814"/>
      <c r="X37" s="814"/>
      <c r="Y37" s="814"/>
      <c r="Z37" s="814"/>
      <c r="AA37" s="405" t="s">
        <v>607</v>
      </c>
      <c r="AB37" s="405"/>
      <c r="AC37" s="405"/>
      <c r="AD37" s="405"/>
      <c r="AE37" s="405"/>
      <c r="AF37" s="405"/>
      <c r="AG37" s="405" t="s">
        <v>607</v>
      </c>
      <c r="AH37" s="405"/>
      <c r="AI37" s="405"/>
      <c r="AJ37" s="405"/>
      <c r="AK37" s="405"/>
      <c r="AL37" s="405"/>
      <c r="AM37" s="405" t="s">
        <v>607</v>
      </c>
      <c r="AN37" s="405"/>
      <c r="AO37" s="405"/>
      <c r="AP37" s="405"/>
      <c r="AQ37" s="405"/>
      <c r="AR37" s="405"/>
      <c r="AS37" s="405" t="s">
        <v>607</v>
      </c>
      <c r="AT37" s="405"/>
      <c r="AU37" s="405"/>
      <c r="AV37" s="405"/>
      <c r="AW37" s="405"/>
      <c r="AX37" s="405"/>
      <c r="AY37" s="405" t="s">
        <v>607</v>
      </c>
      <c r="AZ37" s="405"/>
      <c r="BA37" s="405"/>
      <c r="BB37" s="405"/>
      <c r="BC37" s="405"/>
      <c r="BD37" s="405"/>
      <c r="BE37" s="405" t="s">
        <v>607</v>
      </c>
      <c r="BF37" s="405"/>
      <c r="BG37" s="405"/>
      <c r="BH37" s="405"/>
      <c r="BI37" s="405"/>
      <c r="BJ37" s="405"/>
    </row>
    <row r="38" spans="2:62"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8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7"/>
      <c r="AO38" s="337"/>
      <c r="AP38" s="337"/>
      <c r="AQ38" s="337"/>
      <c r="AR38" s="337"/>
      <c r="AS38" s="337"/>
      <c r="AT38" s="337"/>
      <c r="AU38" s="337"/>
      <c r="AV38" s="337"/>
      <c r="AW38" s="337"/>
      <c r="AX38" s="337"/>
      <c r="AY38" s="337"/>
      <c r="AZ38" s="337"/>
      <c r="BA38" s="337"/>
      <c r="BB38" s="337"/>
      <c r="BC38" s="337"/>
      <c r="BD38" s="337"/>
      <c r="BE38" s="337"/>
      <c r="BF38" s="337"/>
      <c r="BG38" s="337"/>
      <c r="BH38" s="337"/>
      <c r="BI38" s="337"/>
      <c r="BJ38" s="337"/>
    </row>
    <row r="39" spans="2:62">
      <c r="C39" s="400" t="s">
        <v>8</v>
      </c>
      <c r="D39" s="400"/>
      <c r="E39" s="297" t="s">
        <v>475</v>
      </c>
      <c r="F39" s="377">
        <v>-1</v>
      </c>
      <c r="G39" s="377"/>
      <c r="H39" s="2" t="s">
        <v>616</v>
      </c>
    </row>
    <row r="40" spans="2:62">
      <c r="F40" s="809">
        <v>-2</v>
      </c>
      <c r="G40" s="809"/>
      <c r="H40" s="2" t="s">
        <v>615</v>
      </c>
    </row>
    <row r="41" spans="2:62">
      <c r="B41" s="404" t="s">
        <v>9</v>
      </c>
      <c r="C41" s="404"/>
      <c r="D41" s="404"/>
      <c r="E41" s="297" t="s">
        <v>475</v>
      </c>
      <c r="F41" s="2" t="s">
        <v>546</v>
      </c>
    </row>
    <row r="45" spans="2:62" ht="18" customHeight="1">
      <c r="B45" s="379" t="s">
        <v>614</v>
      </c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379"/>
      <c r="AQ45" s="379"/>
      <c r="AR45" s="379"/>
      <c r="AS45" s="379"/>
      <c r="AT45" s="379"/>
      <c r="AU45" s="379"/>
      <c r="AV45" s="379"/>
      <c r="AW45" s="379"/>
      <c r="AX45" s="379"/>
      <c r="AY45" s="379"/>
      <c r="AZ45" s="379"/>
      <c r="BA45" s="379"/>
      <c r="BB45" s="379"/>
      <c r="BC45" s="379"/>
      <c r="BD45" s="379"/>
      <c r="BE45" s="379"/>
      <c r="BF45" s="379"/>
      <c r="BG45" s="379"/>
      <c r="BH45" s="379"/>
      <c r="BI45" s="379"/>
      <c r="BJ45" s="379"/>
    </row>
    <row r="46" spans="2:62" ht="12.9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2:62">
      <c r="B47" s="411" t="s">
        <v>1</v>
      </c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 t="s">
        <v>422</v>
      </c>
      <c r="P47" s="386"/>
      <c r="Q47" s="386"/>
      <c r="R47" s="386"/>
      <c r="S47" s="386"/>
      <c r="T47" s="386"/>
      <c r="U47" s="386" t="s">
        <v>423</v>
      </c>
      <c r="V47" s="386"/>
      <c r="W47" s="386"/>
      <c r="X47" s="386"/>
      <c r="Y47" s="386"/>
      <c r="Z47" s="386"/>
      <c r="AA47" s="386" t="s">
        <v>613</v>
      </c>
      <c r="AB47" s="386"/>
      <c r="AC47" s="386"/>
      <c r="AD47" s="386"/>
      <c r="AE47" s="386"/>
      <c r="AF47" s="386"/>
      <c r="AG47" s="386"/>
      <c r="AH47" s="386"/>
      <c r="AI47" s="386"/>
      <c r="AJ47" s="386"/>
      <c r="AK47" s="386"/>
      <c r="AL47" s="386"/>
      <c r="AM47" s="386"/>
      <c r="AN47" s="386"/>
      <c r="AO47" s="386"/>
      <c r="AP47" s="386"/>
      <c r="AQ47" s="386"/>
      <c r="AR47" s="386"/>
      <c r="AS47" s="386"/>
      <c r="AT47" s="386"/>
      <c r="AU47" s="386"/>
      <c r="AV47" s="386"/>
      <c r="AW47" s="386"/>
      <c r="AX47" s="386"/>
      <c r="AY47" s="386"/>
      <c r="AZ47" s="386"/>
      <c r="BA47" s="386"/>
      <c r="BB47" s="386"/>
      <c r="BC47" s="386"/>
      <c r="BD47" s="386"/>
      <c r="BE47" s="386"/>
      <c r="BF47" s="386"/>
      <c r="BG47" s="386"/>
      <c r="BH47" s="386"/>
      <c r="BI47" s="386"/>
      <c r="BJ47" s="387"/>
    </row>
    <row r="48" spans="2:62">
      <c r="B48" s="412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470" t="s">
        <v>238</v>
      </c>
      <c r="AB48" s="470"/>
      <c r="AC48" s="470"/>
      <c r="AD48" s="470"/>
      <c r="AE48" s="470"/>
      <c r="AF48" s="470"/>
      <c r="AG48" s="385" t="s">
        <v>612</v>
      </c>
      <c r="AH48" s="385"/>
      <c r="AI48" s="385"/>
      <c r="AJ48" s="385"/>
      <c r="AK48" s="385"/>
      <c r="AL48" s="385"/>
      <c r="AM48" s="385" t="s">
        <v>611</v>
      </c>
      <c r="AN48" s="385"/>
      <c r="AO48" s="385"/>
      <c r="AP48" s="385"/>
      <c r="AQ48" s="385"/>
      <c r="AR48" s="385"/>
      <c r="AS48" s="385" t="s">
        <v>610</v>
      </c>
      <c r="AT48" s="385"/>
      <c r="AU48" s="385"/>
      <c r="AV48" s="385"/>
      <c r="AW48" s="385"/>
      <c r="AX48" s="385"/>
      <c r="AY48" s="385" t="s">
        <v>609</v>
      </c>
      <c r="AZ48" s="385"/>
      <c r="BA48" s="385"/>
      <c r="BB48" s="385"/>
      <c r="BC48" s="385"/>
      <c r="BD48" s="385"/>
      <c r="BE48" s="385" t="s">
        <v>608</v>
      </c>
      <c r="BF48" s="385"/>
      <c r="BG48" s="385"/>
      <c r="BH48" s="385"/>
      <c r="BI48" s="385"/>
      <c r="BJ48" s="388"/>
    </row>
    <row r="49" spans="2:62">
      <c r="N49" s="21"/>
    </row>
    <row r="50" spans="2:62">
      <c r="C50" s="389" t="s">
        <v>7</v>
      </c>
      <c r="D50" s="389"/>
      <c r="E50" s="389"/>
      <c r="F50" s="389"/>
      <c r="G50" s="380">
        <v>21</v>
      </c>
      <c r="H50" s="380"/>
      <c r="I50" s="380"/>
      <c r="J50" s="389" t="s">
        <v>1</v>
      </c>
      <c r="K50" s="389"/>
      <c r="L50" s="389"/>
      <c r="M50" s="389"/>
      <c r="N50" s="22"/>
      <c r="O50" s="806">
        <v>22</v>
      </c>
      <c r="P50" s="806"/>
      <c r="Q50" s="806"/>
      <c r="R50" s="806"/>
      <c r="S50" s="806"/>
      <c r="T50" s="806"/>
      <c r="U50" s="806">
        <v>623</v>
      </c>
      <c r="V50" s="806"/>
      <c r="W50" s="806"/>
      <c r="X50" s="806"/>
      <c r="Y50" s="806"/>
      <c r="Z50" s="806"/>
      <c r="AA50" s="414">
        <v>8152</v>
      </c>
      <c r="AB50" s="414"/>
      <c r="AC50" s="414"/>
      <c r="AD50" s="414"/>
      <c r="AE50" s="414"/>
      <c r="AF50" s="414"/>
      <c r="AG50" s="414">
        <v>1906</v>
      </c>
      <c r="AH50" s="414"/>
      <c r="AI50" s="414"/>
      <c r="AJ50" s="414"/>
      <c r="AK50" s="414"/>
      <c r="AL50" s="414"/>
      <c r="AM50" s="414">
        <v>2693</v>
      </c>
      <c r="AN50" s="414"/>
      <c r="AO50" s="414"/>
      <c r="AP50" s="414"/>
      <c r="AQ50" s="414"/>
      <c r="AR50" s="414"/>
      <c r="AS50" s="414">
        <v>2214</v>
      </c>
      <c r="AT50" s="414"/>
      <c r="AU50" s="414"/>
      <c r="AV50" s="414"/>
      <c r="AW50" s="414"/>
      <c r="AX50" s="414"/>
      <c r="AY50" s="414">
        <v>726</v>
      </c>
      <c r="AZ50" s="414"/>
      <c r="BA50" s="414"/>
      <c r="BB50" s="414"/>
      <c r="BC50" s="414"/>
      <c r="BD50" s="414"/>
      <c r="BE50" s="414">
        <v>613</v>
      </c>
      <c r="BF50" s="414"/>
      <c r="BG50" s="414"/>
      <c r="BH50" s="414"/>
      <c r="BI50" s="414"/>
      <c r="BJ50" s="414"/>
    </row>
    <row r="51" spans="2:62">
      <c r="G51" s="380">
        <v>22</v>
      </c>
      <c r="H51" s="380"/>
      <c r="I51" s="380"/>
      <c r="N51" s="22"/>
      <c r="O51" s="806">
        <v>27</v>
      </c>
      <c r="P51" s="806"/>
      <c r="Q51" s="806"/>
      <c r="R51" s="806"/>
      <c r="S51" s="806"/>
      <c r="T51" s="806"/>
      <c r="U51" s="806">
        <v>815</v>
      </c>
      <c r="V51" s="806"/>
      <c r="W51" s="806"/>
      <c r="X51" s="806"/>
      <c r="Y51" s="806"/>
      <c r="Z51" s="806"/>
      <c r="AA51" s="414">
        <v>9754</v>
      </c>
      <c r="AB51" s="414"/>
      <c r="AC51" s="414"/>
      <c r="AD51" s="414"/>
      <c r="AE51" s="414"/>
      <c r="AF51" s="414"/>
      <c r="AG51" s="414">
        <v>2430</v>
      </c>
      <c r="AH51" s="414"/>
      <c r="AI51" s="414"/>
      <c r="AJ51" s="414"/>
      <c r="AK51" s="414"/>
      <c r="AL51" s="414"/>
      <c r="AM51" s="414">
        <v>3272</v>
      </c>
      <c r="AN51" s="414"/>
      <c r="AO51" s="414"/>
      <c r="AP51" s="414"/>
      <c r="AQ51" s="414"/>
      <c r="AR51" s="414"/>
      <c r="AS51" s="414">
        <v>2684</v>
      </c>
      <c r="AT51" s="414"/>
      <c r="AU51" s="414"/>
      <c r="AV51" s="414"/>
      <c r="AW51" s="414"/>
      <c r="AX51" s="414"/>
      <c r="AY51" s="414">
        <v>743</v>
      </c>
      <c r="AZ51" s="414"/>
      <c r="BA51" s="414"/>
      <c r="BB51" s="414"/>
      <c r="BC51" s="414"/>
      <c r="BD51" s="414"/>
      <c r="BE51" s="414">
        <v>625</v>
      </c>
      <c r="BF51" s="414"/>
      <c r="BG51" s="414"/>
      <c r="BH51" s="414"/>
      <c r="BI51" s="414"/>
      <c r="BJ51" s="414"/>
    </row>
    <row r="52" spans="2:62">
      <c r="G52" s="380">
        <v>23</v>
      </c>
      <c r="H52" s="380"/>
      <c r="I52" s="380"/>
      <c r="N52" s="22"/>
      <c r="O52" s="806">
        <v>31</v>
      </c>
      <c r="P52" s="806"/>
      <c r="Q52" s="806"/>
      <c r="R52" s="806"/>
      <c r="S52" s="806"/>
      <c r="T52" s="806"/>
      <c r="U52" s="806">
        <v>968</v>
      </c>
      <c r="V52" s="806"/>
      <c r="W52" s="806"/>
      <c r="X52" s="806"/>
      <c r="Y52" s="806"/>
      <c r="Z52" s="806"/>
      <c r="AA52" s="414">
        <v>11242</v>
      </c>
      <c r="AB52" s="414"/>
      <c r="AC52" s="414"/>
      <c r="AD52" s="414"/>
      <c r="AE52" s="414"/>
      <c r="AF52" s="414"/>
      <c r="AG52" s="414">
        <v>3088</v>
      </c>
      <c r="AH52" s="414"/>
      <c r="AI52" s="414"/>
      <c r="AJ52" s="414"/>
      <c r="AK52" s="414"/>
      <c r="AL52" s="414"/>
      <c r="AM52" s="414">
        <v>4033</v>
      </c>
      <c r="AN52" s="414"/>
      <c r="AO52" s="414"/>
      <c r="AP52" s="414"/>
      <c r="AQ52" s="414"/>
      <c r="AR52" s="414"/>
      <c r="AS52" s="414">
        <v>2641</v>
      </c>
      <c r="AT52" s="414"/>
      <c r="AU52" s="414"/>
      <c r="AV52" s="414"/>
      <c r="AW52" s="414"/>
      <c r="AX52" s="414"/>
      <c r="AY52" s="414">
        <v>833</v>
      </c>
      <c r="AZ52" s="414"/>
      <c r="BA52" s="414"/>
      <c r="BB52" s="414"/>
      <c r="BC52" s="414"/>
      <c r="BD52" s="414"/>
      <c r="BE52" s="414">
        <v>647</v>
      </c>
      <c r="BF52" s="414"/>
      <c r="BG52" s="414"/>
      <c r="BH52" s="414"/>
      <c r="BI52" s="414"/>
      <c r="BJ52" s="414"/>
    </row>
    <row r="53" spans="2:62">
      <c r="G53" s="380">
        <v>24</v>
      </c>
      <c r="H53" s="380"/>
      <c r="I53" s="380"/>
      <c r="N53" s="22"/>
      <c r="O53" s="806">
        <v>34</v>
      </c>
      <c r="P53" s="806"/>
      <c r="Q53" s="806"/>
      <c r="R53" s="806"/>
      <c r="S53" s="806"/>
      <c r="T53" s="806"/>
      <c r="U53" s="806">
        <v>1055</v>
      </c>
      <c r="V53" s="806"/>
      <c r="W53" s="806"/>
      <c r="X53" s="806"/>
      <c r="Y53" s="806"/>
      <c r="Z53" s="806"/>
      <c r="AA53" s="402">
        <f>SUM(AG53:BJ53)</f>
        <v>12771</v>
      </c>
      <c r="AB53" s="402"/>
      <c r="AC53" s="402"/>
      <c r="AD53" s="402"/>
      <c r="AE53" s="402"/>
      <c r="AF53" s="402"/>
      <c r="AG53" s="402">
        <v>3360</v>
      </c>
      <c r="AH53" s="402"/>
      <c r="AI53" s="402"/>
      <c r="AJ53" s="402"/>
      <c r="AK53" s="402"/>
      <c r="AL53" s="402"/>
      <c r="AM53" s="402">
        <v>4541</v>
      </c>
      <c r="AN53" s="402"/>
      <c r="AO53" s="402"/>
      <c r="AP53" s="402"/>
      <c r="AQ53" s="402"/>
      <c r="AR53" s="402"/>
      <c r="AS53" s="402">
        <v>3416</v>
      </c>
      <c r="AT53" s="402"/>
      <c r="AU53" s="402"/>
      <c r="AV53" s="402"/>
      <c r="AW53" s="402"/>
      <c r="AX53" s="402"/>
      <c r="AY53" s="402">
        <v>689</v>
      </c>
      <c r="AZ53" s="402"/>
      <c r="BA53" s="402"/>
      <c r="BB53" s="402"/>
      <c r="BC53" s="402"/>
      <c r="BD53" s="402"/>
      <c r="BE53" s="402">
        <v>765</v>
      </c>
      <c r="BF53" s="402"/>
      <c r="BG53" s="402"/>
      <c r="BH53" s="402"/>
      <c r="BI53" s="402"/>
      <c r="BJ53" s="402"/>
    </row>
    <row r="54" spans="2:62">
      <c r="G54" s="392">
        <v>25</v>
      </c>
      <c r="H54" s="392"/>
      <c r="I54" s="392"/>
      <c r="N54" s="22"/>
      <c r="O54" s="814">
        <v>36</v>
      </c>
      <c r="P54" s="814"/>
      <c r="Q54" s="814"/>
      <c r="R54" s="814"/>
      <c r="S54" s="814"/>
      <c r="T54" s="814"/>
      <c r="U54" s="814">
        <v>1117</v>
      </c>
      <c r="V54" s="814"/>
      <c r="W54" s="814"/>
      <c r="X54" s="814"/>
      <c r="Y54" s="814"/>
      <c r="Z54" s="814"/>
      <c r="AA54" s="813" t="s">
        <v>607</v>
      </c>
      <c r="AB54" s="813"/>
      <c r="AC54" s="813"/>
      <c r="AD54" s="813"/>
      <c r="AE54" s="813"/>
      <c r="AF54" s="813"/>
      <c r="AG54" s="813" t="s">
        <v>607</v>
      </c>
      <c r="AH54" s="813"/>
      <c r="AI54" s="813"/>
      <c r="AJ54" s="813"/>
      <c r="AK54" s="813"/>
      <c r="AL54" s="813"/>
      <c r="AM54" s="813" t="s">
        <v>607</v>
      </c>
      <c r="AN54" s="813"/>
      <c r="AO54" s="813"/>
      <c r="AP54" s="813"/>
      <c r="AQ54" s="813"/>
      <c r="AR54" s="813"/>
      <c r="AS54" s="813" t="s">
        <v>607</v>
      </c>
      <c r="AT54" s="813"/>
      <c r="AU54" s="813"/>
      <c r="AV54" s="813"/>
      <c r="AW54" s="813"/>
      <c r="AX54" s="813"/>
      <c r="AY54" s="813" t="s">
        <v>607</v>
      </c>
      <c r="AZ54" s="813"/>
      <c r="BA54" s="813"/>
      <c r="BB54" s="813"/>
      <c r="BC54" s="813"/>
      <c r="BD54" s="813"/>
      <c r="BE54" s="813" t="s">
        <v>607</v>
      </c>
      <c r="BF54" s="813"/>
      <c r="BG54" s="813"/>
      <c r="BH54" s="813"/>
      <c r="BI54" s="813"/>
      <c r="BJ54" s="813"/>
    </row>
    <row r="55" spans="2:6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2:62">
      <c r="C56" s="400" t="s">
        <v>8</v>
      </c>
      <c r="D56" s="400"/>
      <c r="E56" s="297" t="s">
        <v>127</v>
      </c>
      <c r="F56" s="377">
        <v>-1</v>
      </c>
      <c r="G56" s="377"/>
      <c r="H56" s="2" t="s">
        <v>606</v>
      </c>
    </row>
    <row r="57" spans="2:62">
      <c r="F57" s="809">
        <v>-2</v>
      </c>
      <c r="G57" s="809"/>
      <c r="H57" s="2" t="s">
        <v>605</v>
      </c>
    </row>
    <row r="58" spans="2:62">
      <c r="B58" s="404" t="s">
        <v>9</v>
      </c>
      <c r="C58" s="404"/>
      <c r="D58" s="404"/>
      <c r="E58" s="297" t="s">
        <v>127</v>
      </c>
      <c r="F58" s="2" t="s">
        <v>546</v>
      </c>
    </row>
  </sheetData>
  <mergeCells count="225">
    <mergeCell ref="BD10:BJ10"/>
    <mergeCell ref="U11:AA11"/>
    <mergeCell ref="AB11:AH11"/>
    <mergeCell ref="AI11:AO11"/>
    <mergeCell ref="AP11:AV11"/>
    <mergeCell ref="AW11:BC11"/>
    <mergeCell ref="BD11:BJ11"/>
    <mergeCell ref="AW12:BC12"/>
    <mergeCell ref="BD12:BJ12"/>
    <mergeCell ref="AW10:BC10"/>
    <mergeCell ref="AW13:BC13"/>
    <mergeCell ref="C56:D56"/>
    <mergeCell ref="F56:G56"/>
    <mergeCell ref="F57:G57"/>
    <mergeCell ref="B58:D58"/>
    <mergeCell ref="C10:F10"/>
    <mergeCell ref="I10:L10"/>
    <mergeCell ref="G10:H10"/>
    <mergeCell ref="G11:H11"/>
    <mergeCell ref="G12:H12"/>
    <mergeCell ref="G13:H13"/>
    <mergeCell ref="G14:H14"/>
    <mergeCell ref="G54:I54"/>
    <mergeCell ref="G52:I52"/>
    <mergeCell ref="G51:I51"/>
    <mergeCell ref="G37:I37"/>
    <mergeCell ref="B28:BJ28"/>
    <mergeCell ref="B30:N31"/>
    <mergeCell ref="O30:T31"/>
    <mergeCell ref="BD13:BJ13"/>
    <mergeCell ref="C50:F50"/>
    <mergeCell ref="G50:I50"/>
    <mergeCell ref="J50:M50"/>
    <mergeCell ref="C39:D39"/>
    <mergeCell ref="F39:G39"/>
    <mergeCell ref="F40:G40"/>
    <mergeCell ref="B41:D41"/>
    <mergeCell ref="B45:BJ45"/>
    <mergeCell ref="B47:N48"/>
    <mergeCell ref="O47:T48"/>
    <mergeCell ref="AY54:BD54"/>
    <mergeCell ref="BE54:BJ54"/>
    <mergeCell ref="G53:I53"/>
    <mergeCell ref="O53:T53"/>
    <mergeCell ref="U53:Z53"/>
    <mergeCell ref="AA53:AF53"/>
    <mergeCell ref="AG53:AL53"/>
    <mergeCell ref="AM53:AR53"/>
    <mergeCell ref="AS53:AX53"/>
    <mergeCell ref="AY53:BD53"/>
    <mergeCell ref="O54:T54"/>
    <mergeCell ref="U54:Z54"/>
    <mergeCell ref="AA54:AF54"/>
    <mergeCell ref="AG54:AL54"/>
    <mergeCell ref="AM54:AR54"/>
    <mergeCell ref="AS54:AX54"/>
    <mergeCell ref="O51:T51"/>
    <mergeCell ref="U51:Z51"/>
    <mergeCell ref="AA51:AF51"/>
    <mergeCell ref="AG51:AL51"/>
    <mergeCell ref="AM51:AR51"/>
    <mergeCell ref="AS51:AX51"/>
    <mergeCell ref="AY51:BD51"/>
    <mergeCell ref="BE51:BJ51"/>
    <mergeCell ref="BE53:BJ53"/>
    <mergeCell ref="O52:T52"/>
    <mergeCell ref="U52:Z52"/>
    <mergeCell ref="AA52:AF52"/>
    <mergeCell ref="AG52:AL52"/>
    <mergeCell ref="AM52:AR52"/>
    <mergeCell ref="AS52:AX52"/>
    <mergeCell ref="AY52:BD52"/>
    <mergeCell ref="BE52:BJ52"/>
    <mergeCell ref="U47:Z48"/>
    <mergeCell ref="AA47:BJ47"/>
    <mergeCell ref="AA48:AF48"/>
    <mergeCell ref="AG48:AL48"/>
    <mergeCell ref="AM48:AR48"/>
    <mergeCell ref="AS48:AX48"/>
    <mergeCell ref="AY48:BD48"/>
    <mergeCell ref="BE48:BJ48"/>
    <mergeCell ref="O50:T50"/>
    <mergeCell ref="U50:Z50"/>
    <mergeCell ref="AA50:AF50"/>
    <mergeCell ref="AG50:AL50"/>
    <mergeCell ref="AM50:AR50"/>
    <mergeCell ref="AS50:AX50"/>
    <mergeCell ref="AY50:BD50"/>
    <mergeCell ref="BE50:BJ50"/>
    <mergeCell ref="AY37:BD37"/>
    <mergeCell ref="BE37:BJ37"/>
    <mergeCell ref="G36:I36"/>
    <mergeCell ref="O36:T36"/>
    <mergeCell ref="U36:Z36"/>
    <mergeCell ref="AA36:AF36"/>
    <mergeCell ref="AG36:AL36"/>
    <mergeCell ref="AM36:AR36"/>
    <mergeCell ref="AS36:AX36"/>
    <mergeCell ref="AY36:BD36"/>
    <mergeCell ref="O37:T37"/>
    <mergeCell ref="U37:Z37"/>
    <mergeCell ref="AA37:AF37"/>
    <mergeCell ref="AG37:AL37"/>
    <mergeCell ref="AM37:AR37"/>
    <mergeCell ref="AS37:AX37"/>
    <mergeCell ref="AS34:AX34"/>
    <mergeCell ref="AY34:BD34"/>
    <mergeCell ref="BE36:BJ36"/>
    <mergeCell ref="G35:I35"/>
    <mergeCell ref="O35:T35"/>
    <mergeCell ref="U35:Z35"/>
    <mergeCell ref="AA35:AF35"/>
    <mergeCell ref="AG35:AL35"/>
    <mergeCell ref="AM35:AR35"/>
    <mergeCell ref="AS35:AX35"/>
    <mergeCell ref="AY35:BD35"/>
    <mergeCell ref="BE35:BJ35"/>
    <mergeCell ref="C23:D23"/>
    <mergeCell ref="B24:D24"/>
    <mergeCell ref="C21:I21"/>
    <mergeCell ref="U21:AA21"/>
    <mergeCell ref="AI21:AO21"/>
    <mergeCell ref="AP21:AV21"/>
    <mergeCell ref="BE34:BJ34"/>
    <mergeCell ref="C33:F33"/>
    <mergeCell ref="G33:I33"/>
    <mergeCell ref="J33:M33"/>
    <mergeCell ref="O33:T33"/>
    <mergeCell ref="U33:Z33"/>
    <mergeCell ref="AA33:AF33"/>
    <mergeCell ref="AG33:AL33"/>
    <mergeCell ref="AM33:AR33"/>
    <mergeCell ref="AS33:AX33"/>
    <mergeCell ref="AY33:BD33"/>
    <mergeCell ref="BE33:BJ33"/>
    <mergeCell ref="G34:I34"/>
    <mergeCell ref="O34:T34"/>
    <mergeCell ref="U34:Z34"/>
    <mergeCell ref="AA34:AF34"/>
    <mergeCell ref="AG34:AL34"/>
    <mergeCell ref="AM34:AR34"/>
    <mergeCell ref="AW20:BC20"/>
    <mergeCell ref="BD20:BJ20"/>
    <mergeCell ref="AW19:BC19"/>
    <mergeCell ref="BD19:BJ19"/>
    <mergeCell ref="AW21:BC21"/>
    <mergeCell ref="BD21:BJ21"/>
    <mergeCell ref="U30:Z31"/>
    <mergeCell ref="AA30:BJ30"/>
    <mergeCell ref="AA31:AF31"/>
    <mergeCell ref="AG31:AL31"/>
    <mergeCell ref="AM31:AR31"/>
    <mergeCell ref="AS31:AX31"/>
    <mergeCell ref="AY31:BD31"/>
    <mergeCell ref="BE31:BJ31"/>
    <mergeCell ref="C20:I20"/>
    <mergeCell ref="U20:AA20"/>
    <mergeCell ref="AI20:AO20"/>
    <mergeCell ref="AP20:AV20"/>
    <mergeCell ref="C19:I19"/>
    <mergeCell ref="N19:T21"/>
    <mergeCell ref="U19:AA19"/>
    <mergeCell ref="AB19:AH21"/>
    <mergeCell ref="AI19:AO19"/>
    <mergeCell ref="AP19:AV19"/>
    <mergeCell ref="AW17:BC17"/>
    <mergeCell ref="BD17:BJ17"/>
    <mergeCell ref="C18:I18"/>
    <mergeCell ref="N18:T18"/>
    <mergeCell ref="U18:AA18"/>
    <mergeCell ref="AB18:AH18"/>
    <mergeCell ref="AI18:AO18"/>
    <mergeCell ref="AP18:AV18"/>
    <mergeCell ref="AW18:BC18"/>
    <mergeCell ref="BD18:BJ18"/>
    <mergeCell ref="C17:I17"/>
    <mergeCell ref="N17:T17"/>
    <mergeCell ref="U17:AA17"/>
    <mergeCell ref="AB17:AH17"/>
    <mergeCell ref="AI17:AO17"/>
    <mergeCell ref="AP17:AV17"/>
    <mergeCell ref="AW14:BC14"/>
    <mergeCell ref="BD14:BJ14"/>
    <mergeCell ref="C16:I16"/>
    <mergeCell ref="J16:L16"/>
    <mergeCell ref="N16:T16"/>
    <mergeCell ref="U16:AA16"/>
    <mergeCell ref="AB16:AH16"/>
    <mergeCell ref="AI16:AO16"/>
    <mergeCell ref="AP16:AV16"/>
    <mergeCell ref="AW16:BC16"/>
    <mergeCell ref="BD16:BJ16"/>
    <mergeCell ref="U10:AA10"/>
    <mergeCell ref="AB10:AH10"/>
    <mergeCell ref="U13:AA13"/>
    <mergeCell ref="AB13:AH13"/>
    <mergeCell ref="N14:T14"/>
    <mergeCell ref="U14:AA14"/>
    <mergeCell ref="AB14:AH14"/>
    <mergeCell ref="AI14:AO14"/>
    <mergeCell ref="AP14:AV14"/>
    <mergeCell ref="AB8:AH8"/>
    <mergeCell ref="AI8:AO8"/>
    <mergeCell ref="AP8:AV8"/>
    <mergeCell ref="AW8:BC8"/>
    <mergeCell ref="AI13:AO13"/>
    <mergeCell ref="AP13:AV13"/>
    <mergeCell ref="AS1:BK2"/>
    <mergeCell ref="B5:BJ5"/>
    <mergeCell ref="B7:M8"/>
    <mergeCell ref="N7:AH7"/>
    <mergeCell ref="AI7:BC7"/>
    <mergeCell ref="BD7:BJ8"/>
    <mergeCell ref="N8:T8"/>
    <mergeCell ref="U8:AA8"/>
    <mergeCell ref="AI10:AO10"/>
    <mergeCell ref="AP10:AV10"/>
    <mergeCell ref="U12:AA12"/>
    <mergeCell ref="AB12:AH12"/>
    <mergeCell ref="AI12:AO12"/>
    <mergeCell ref="AP12:AV12"/>
    <mergeCell ref="N10:T10"/>
    <mergeCell ref="N11:T11"/>
    <mergeCell ref="N12:T12"/>
    <mergeCell ref="N13:T13"/>
  </mergeCells>
  <phoneticPr fontId="25"/>
  <printOptions horizontalCentered="1"/>
  <pageMargins left="0.39370078740157483" right="0.47244094488188981" top="0.31496062992125984" bottom="0.39370078740157483" header="0" footer="0"/>
  <pageSetup paperSize="9" scale="93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5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2" ht="11.1" customHeight="1">
      <c r="A1" s="376">
        <f>'203'!AS1+1</f>
        <v>204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</row>
    <row r="2" spans="1:62" ht="11.1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62" ht="11.1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</row>
    <row r="4" spans="1:62" ht="11.1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</row>
    <row r="5" spans="1:62" ht="18" customHeight="1">
      <c r="B5" s="379" t="s">
        <v>640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</row>
    <row r="6" spans="1:62" ht="12.9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>
      <c r="B7" s="411" t="s">
        <v>1</v>
      </c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 t="s">
        <v>636</v>
      </c>
      <c r="O7" s="386"/>
      <c r="P7" s="386"/>
      <c r="Q7" s="386"/>
      <c r="R7" s="386"/>
      <c r="S7" s="386"/>
      <c r="T7" s="386"/>
      <c r="U7" s="386" t="s">
        <v>423</v>
      </c>
      <c r="V7" s="386"/>
      <c r="W7" s="386"/>
      <c r="X7" s="386"/>
      <c r="Y7" s="386"/>
      <c r="Z7" s="386"/>
      <c r="AA7" s="386"/>
      <c r="AB7" s="386" t="s">
        <v>613</v>
      </c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7"/>
    </row>
    <row r="8" spans="1:62">
      <c r="B8" s="412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470" t="s">
        <v>238</v>
      </c>
      <c r="AC8" s="470"/>
      <c r="AD8" s="470"/>
      <c r="AE8" s="470"/>
      <c r="AF8" s="470"/>
      <c r="AG8" s="470"/>
      <c r="AH8" s="470"/>
      <c r="AI8" s="470"/>
      <c r="AJ8" s="385" t="s">
        <v>612</v>
      </c>
      <c r="AK8" s="385"/>
      <c r="AL8" s="385"/>
      <c r="AM8" s="385"/>
      <c r="AN8" s="385"/>
      <c r="AO8" s="385"/>
      <c r="AP8" s="385"/>
      <c r="AQ8" s="385"/>
      <c r="AR8" s="385"/>
      <c r="AS8" s="385" t="s">
        <v>611</v>
      </c>
      <c r="AT8" s="385"/>
      <c r="AU8" s="385"/>
      <c r="AV8" s="385"/>
      <c r="AW8" s="385"/>
      <c r="AX8" s="385"/>
      <c r="AY8" s="385"/>
      <c r="AZ8" s="385"/>
      <c r="BA8" s="385"/>
      <c r="BB8" s="385" t="s">
        <v>610</v>
      </c>
      <c r="BC8" s="385"/>
      <c r="BD8" s="385"/>
      <c r="BE8" s="385"/>
      <c r="BF8" s="385"/>
      <c r="BG8" s="385"/>
      <c r="BH8" s="385"/>
      <c r="BI8" s="385"/>
      <c r="BJ8" s="388"/>
    </row>
    <row r="9" spans="1:62">
      <c r="M9" s="21"/>
    </row>
    <row r="10" spans="1:62">
      <c r="C10" s="389" t="s">
        <v>7</v>
      </c>
      <c r="D10" s="389"/>
      <c r="E10" s="389"/>
      <c r="F10" s="389"/>
      <c r="G10" s="380">
        <v>21</v>
      </c>
      <c r="H10" s="380"/>
      <c r="I10" s="389" t="s">
        <v>1</v>
      </c>
      <c r="J10" s="389"/>
      <c r="K10" s="389"/>
      <c r="L10" s="389"/>
      <c r="M10" s="22"/>
      <c r="N10" s="806">
        <v>41</v>
      </c>
      <c r="O10" s="806"/>
      <c r="P10" s="806"/>
      <c r="Q10" s="806"/>
      <c r="R10" s="806"/>
      <c r="S10" s="806"/>
      <c r="T10" s="806"/>
      <c r="U10" s="806">
        <v>117</v>
      </c>
      <c r="V10" s="806"/>
      <c r="W10" s="806"/>
      <c r="X10" s="806"/>
      <c r="Y10" s="806"/>
      <c r="Z10" s="806"/>
      <c r="AA10" s="806"/>
      <c r="AB10" s="418">
        <f>SUM(AJ10:BJ10)</f>
        <v>1408</v>
      </c>
      <c r="AC10" s="418"/>
      <c r="AD10" s="418"/>
      <c r="AE10" s="418"/>
      <c r="AF10" s="418"/>
      <c r="AG10" s="418"/>
      <c r="AH10" s="418"/>
      <c r="AI10" s="418"/>
      <c r="AJ10" s="418">
        <v>265</v>
      </c>
      <c r="AK10" s="418"/>
      <c r="AL10" s="418"/>
      <c r="AM10" s="418"/>
      <c r="AN10" s="418"/>
      <c r="AO10" s="418"/>
      <c r="AP10" s="418"/>
      <c r="AQ10" s="418"/>
      <c r="AR10" s="418"/>
      <c r="AS10" s="418">
        <v>693</v>
      </c>
      <c r="AT10" s="418"/>
      <c r="AU10" s="418"/>
      <c r="AV10" s="418"/>
      <c r="AW10" s="418"/>
      <c r="AX10" s="418"/>
      <c r="AY10" s="418"/>
      <c r="AZ10" s="418"/>
      <c r="BA10" s="418"/>
      <c r="BB10" s="418">
        <v>450</v>
      </c>
      <c r="BC10" s="418"/>
      <c r="BD10" s="418"/>
      <c r="BE10" s="418"/>
      <c r="BF10" s="418"/>
      <c r="BG10" s="418"/>
      <c r="BH10" s="418"/>
      <c r="BI10" s="418"/>
      <c r="BJ10" s="418"/>
    </row>
    <row r="11" spans="1:62">
      <c r="G11" s="380">
        <v>22</v>
      </c>
      <c r="H11" s="380"/>
      <c r="M11" s="22"/>
      <c r="N11" s="806">
        <v>48</v>
      </c>
      <c r="O11" s="806"/>
      <c r="P11" s="806"/>
      <c r="Q11" s="806"/>
      <c r="R11" s="806"/>
      <c r="S11" s="806"/>
      <c r="T11" s="806"/>
      <c r="U11" s="806">
        <v>141</v>
      </c>
      <c r="V11" s="806"/>
      <c r="W11" s="806"/>
      <c r="X11" s="806"/>
      <c r="Y11" s="806"/>
      <c r="Z11" s="806"/>
      <c r="AA11" s="806"/>
      <c r="AB11" s="418">
        <f>SUM(AJ11:BJ11)</f>
        <v>1668</v>
      </c>
      <c r="AC11" s="418"/>
      <c r="AD11" s="418"/>
      <c r="AE11" s="418"/>
      <c r="AF11" s="418"/>
      <c r="AG11" s="418"/>
      <c r="AH11" s="418"/>
      <c r="AI11" s="418"/>
      <c r="AJ11" s="418">
        <v>335</v>
      </c>
      <c r="AK11" s="418"/>
      <c r="AL11" s="418"/>
      <c r="AM11" s="418"/>
      <c r="AN11" s="418"/>
      <c r="AO11" s="418"/>
      <c r="AP11" s="418"/>
      <c r="AQ11" s="418"/>
      <c r="AR11" s="418"/>
      <c r="AS11" s="418">
        <v>892</v>
      </c>
      <c r="AT11" s="418"/>
      <c r="AU11" s="418"/>
      <c r="AV11" s="418"/>
      <c r="AW11" s="418"/>
      <c r="AX11" s="418"/>
      <c r="AY11" s="418"/>
      <c r="AZ11" s="418"/>
      <c r="BA11" s="418"/>
      <c r="BB11" s="418">
        <v>441</v>
      </c>
      <c r="BC11" s="418"/>
      <c r="BD11" s="418"/>
      <c r="BE11" s="418"/>
      <c r="BF11" s="418"/>
      <c r="BG11" s="418"/>
      <c r="BH11" s="418"/>
      <c r="BI11" s="418"/>
      <c r="BJ11" s="418"/>
    </row>
    <row r="12" spans="1:62">
      <c r="G12" s="380">
        <v>23</v>
      </c>
      <c r="H12" s="380"/>
      <c r="M12" s="22"/>
      <c r="N12" s="806">
        <v>50</v>
      </c>
      <c r="O12" s="806"/>
      <c r="P12" s="806"/>
      <c r="Q12" s="806"/>
      <c r="R12" s="806"/>
      <c r="S12" s="806"/>
      <c r="T12" s="806"/>
      <c r="U12" s="806">
        <v>147</v>
      </c>
      <c r="V12" s="806"/>
      <c r="W12" s="806"/>
      <c r="X12" s="806"/>
      <c r="Y12" s="806"/>
      <c r="Z12" s="806"/>
      <c r="AA12" s="806"/>
      <c r="AB12" s="418">
        <f>SUM(AJ12:BJ12)</f>
        <v>1684</v>
      </c>
      <c r="AC12" s="418"/>
      <c r="AD12" s="418"/>
      <c r="AE12" s="418"/>
      <c r="AF12" s="418"/>
      <c r="AG12" s="418"/>
      <c r="AH12" s="418"/>
      <c r="AI12" s="418"/>
      <c r="AJ12" s="418">
        <v>463</v>
      </c>
      <c r="AK12" s="418"/>
      <c r="AL12" s="418"/>
      <c r="AM12" s="418"/>
      <c r="AN12" s="418"/>
      <c r="AO12" s="418"/>
      <c r="AP12" s="418"/>
      <c r="AQ12" s="418"/>
      <c r="AR12" s="418"/>
      <c r="AS12" s="418">
        <v>665</v>
      </c>
      <c r="AT12" s="418"/>
      <c r="AU12" s="418"/>
      <c r="AV12" s="418"/>
      <c r="AW12" s="418"/>
      <c r="AX12" s="418"/>
      <c r="AY12" s="418"/>
      <c r="AZ12" s="418"/>
      <c r="BA12" s="418"/>
      <c r="BB12" s="418">
        <v>556</v>
      </c>
      <c r="BC12" s="418"/>
      <c r="BD12" s="418"/>
      <c r="BE12" s="418"/>
      <c r="BF12" s="418"/>
      <c r="BG12" s="418"/>
      <c r="BH12" s="418"/>
      <c r="BI12" s="418"/>
      <c r="BJ12" s="418"/>
    </row>
    <row r="13" spans="1:62">
      <c r="G13" s="380">
        <v>24</v>
      </c>
      <c r="H13" s="380"/>
      <c r="M13" s="22"/>
      <c r="N13" s="806">
        <v>51</v>
      </c>
      <c r="O13" s="806"/>
      <c r="P13" s="806"/>
      <c r="Q13" s="806"/>
      <c r="R13" s="806"/>
      <c r="S13" s="806"/>
      <c r="T13" s="806"/>
      <c r="U13" s="806">
        <v>149</v>
      </c>
      <c r="V13" s="806"/>
      <c r="W13" s="806"/>
      <c r="X13" s="806"/>
      <c r="Y13" s="806"/>
      <c r="Z13" s="806"/>
      <c r="AA13" s="806"/>
      <c r="AB13" s="418">
        <f>SUM(AJ13:BJ13)</f>
        <v>1725</v>
      </c>
      <c r="AC13" s="418"/>
      <c r="AD13" s="418"/>
      <c r="AE13" s="418"/>
      <c r="AF13" s="418"/>
      <c r="AG13" s="418"/>
      <c r="AH13" s="418"/>
      <c r="AI13" s="418"/>
      <c r="AJ13" s="418">
        <v>376</v>
      </c>
      <c r="AK13" s="418"/>
      <c r="AL13" s="418"/>
      <c r="AM13" s="418"/>
      <c r="AN13" s="418"/>
      <c r="AO13" s="418"/>
      <c r="AP13" s="418"/>
      <c r="AQ13" s="418"/>
      <c r="AR13" s="418"/>
      <c r="AS13" s="418">
        <v>899</v>
      </c>
      <c r="AT13" s="418"/>
      <c r="AU13" s="418"/>
      <c r="AV13" s="418"/>
      <c r="AW13" s="418"/>
      <c r="AX13" s="418"/>
      <c r="AY13" s="418"/>
      <c r="AZ13" s="418"/>
      <c r="BA13" s="418"/>
      <c r="BB13" s="418">
        <v>450</v>
      </c>
      <c r="BC13" s="418"/>
      <c r="BD13" s="418"/>
      <c r="BE13" s="418"/>
      <c r="BF13" s="418"/>
      <c r="BG13" s="418"/>
      <c r="BH13" s="418"/>
      <c r="BI13" s="418"/>
      <c r="BJ13" s="418"/>
    </row>
    <row r="14" spans="1:62">
      <c r="G14" s="392">
        <v>25</v>
      </c>
      <c r="H14" s="392"/>
      <c r="I14" s="245"/>
      <c r="J14" s="245"/>
      <c r="K14" s="245"/>
      <c r="L14" s="245"/>
      <c r="M14" s="276"/>
      <c r="N14" s="814">
        <v>54</v>
      </c>
      <c r="O14" s="814"/>
      <c r="P14" s="814"/>
      <c r="Q14" s="814"/>
      <c r="R14" s="814"/>
      <c r="S14" s="814"/>
      <c r="T14" s="814"/>
      <c r="U14" s="814">
        <v>159</v>
      </c>
      <c r="V14" s="814"/>
      <c r="W14" s="814"/>
      <c r="X14" s="814"/>
      <c r="Y14" s="814"/>
      <c r="Z14" s="814"/>
      <c r="AA14" s="814"/>
      <c r="AB14" s="405" t="s">
        <v>607</v>
      </c>
      <c r="AC14" s="405"/>
      <c r="AD14" s="405"/>
      <c r="AE14" s="405"/>
      <c r="AF14" s="405"/>
      <c r="AG14" s="405"/>
      <c r="AH14" s="405"/>
      <c r="AI14" s="405"/>
      <c r="AJ14" s="405" t="s">
        <v>635</v>
      </c>
      <c r="AK14" s="405"/>
      <c r="AL14" s="405"/>
      <c r="AM14" s="405"/>
      <c r="AN14" s="405"/>
      <c r="AO14" s="405"/>
      <c r="AP14" s="405"/>
      <c r="AQ14" s="405"/>
      <c r="AR14" s="405"/>
      <c r="AS14" s="405" t="s">
        <v>635</v>
      </c>
      <c r="AT14" s="405"/>
      <c r="AU14" s="405"/>
      <c r="AV14" s="405"/>
      <c r="AW14" s="405"/>
      <c r="AX14" s="405"/>
      <c r="AY14" s="405"/>
      <c r="AZ14" s="405"/>
      <c r="BA14" s="405"/>
      <c r="BB14" s="405" t="s">
        <v>635</v>
      </c>
      <c r="BC14" s="405"/>
      <c r="BD14" s="405"/>
      <c r="BE14" s="405"/>
      <c r="BF14" s="405"/>
      <c r="BG14" s="405"/>
      <c r="BH14" s="405"/>
      <c r="BI14" s="405"/>
      <c r="BJ14" s="405"/>
    </row>
    <row r="15" spans="1:6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>
      <c r="C16" s="400" t="s">
        <v>8</v>
      </c>
      <c r="D16" s="400"/>
      <c r="E16" s="339" t="s">
        <v>475</v>
      </c>
      <c r="F16" s="2" t="s">
        <v>639</v>
      </c>
    </row>
    <row r="17" spans="2:62">
      <c r="B17" s="404" t="s">
        <v>9</v>
      </c>
      <c r="C17" s="404"/>
      <c r="D17" s="404"/>
      <c r="E17" s="339" t="s">
        <v>475</v>
      </c>
      <c r="F17" s="2" t="s">
        <v>546</v>
      </c>
    </row>
    <row r="21" spans="2:62" ht="18" customHeight="1">
      <c r="B21" s="379" t="s">
        <v>638</v>
      </c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79"/>
      <c r="AQ21" s="379"/>
      <c r="AR21" s="379"/>
      <c r="AS21" s="379"/>
      <c r="AT21" s="379"/>
      <c r="AU21" s="379"/>
      <c r="AV21" s="379"/>
      <c r="AW21" s="379"/>
      <c r="AX21" s="379"/>
      <c r="AY21" s="379"/>
      <c r="AZ21" s="379"/>
      <c r="BA21" s="379"/>
      <c r="BB21" s="379"/>
      <c r="BC21" s="379"/>
      <c r="BD21" s="379"/>
      <c r="BE21" s="379"/>
      <c r="BF21" s="379"/>
      <c r="BG21" s="379"/>
      <c r="BH21" s="379"/>
      <c r="BI21" s="379"/>
      <c r="BJ21" s="379"/>
    </row>
    <row r="22" spans="2:62" ht="12.9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2:62">
      <c r="B23" s="411" t="s">
        <v>1</v>
      </c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413" t="s">
        <v>637</v>
      </c>
      <c r="P23" s="386"/>
      <c r="Q23" s="386"/>
      <c r="R23" s="386"/>
      <c r="S23" s="386"/>
      <c r="T23" s="386"/>
      <c r="U23" s="386" t="s">
        <v>636</v>
      </c>
      <c r="V23" s="386"/>
      <c r="W23" s="386"/>
      <c r="X23" s="386"/>
      <c r="Y23" s="386"/>
      <c r="Z23" s="386"/>
      <c r="AA23" s="386" t="s">
        <v>423</v>
      </c>
      <c r="AB23" s="386"/>
      <c r="AC23" s="386"/>
      <c r="AD23" s="386"/>
      <c r="AE23" s="386"/>
      <c r="AF23" s="386"/>
      <c r="AG23" s="386" t="s">
        <v>613</v>
      </c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/>
      <c r="BG23" s="386"/>
      <c r="BH23" s="386"/>
      <c r="BI23" s="386"/>
      <c r="BJ23" s="387"/>
    </row>
    <row r="24" spans="2:62">
      <c r="B24" s="412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470" t="s">
        <v>238</v>
      </c>
      <c r="AH24" s="470"/>
      <c r="AI24" s="470"/>
      <c r="AJ24" s="470"/>
      <c r="AK24" s="470"/>
      <c r="AL24" s="470"/>
      <c r="AM24" s="470"/>
      <c r="AN24" s="385" t="s">
        <v>612</v>
      </c>
      <c r="AO24" s="385"/>
      <c r="AP24" s="385"/>
      <c r="AQ24" s="385"/>
      <c r="AR24" s="385"/>
      <c r="AS24" s="385"/>
      <c r="AT24" s="385"/>
      <c r="AU24" s="385" t="s">
        <v>611</v>
      </c>
      <c r="AV24" s="385"/>
      <c r="AW24" s="385"/>
      <c r="AX24" s="385"/>
      <c r="AY24" s="385"/>
      <c r="AZ24" s="385"/>
      <c r="BA24" s="385"/>
      <c r="BB24" s="385"/>
      <c r="BC24" s="388" t="s">
        <v>610</v>
      </c>
      <c r="BD24" s="822"/>
      <c r="BE24" s="822"/>
      <c r="BF24" s="822"/>
      <c r="BG24" s="822"/>
      <c r="BH24" s="822"/>
      <c r="BI24" s="822"/>
      <c r="BJ24" s="822"/>
    </row>
    <row r="25" spans="2:62">
      <c r="N25" s="21"/>
    </row>
    <row r="26" spans="2:62">
      <c r="C26" s="389" t="s">
        <v>7</v>
      </c>
      <c r="D26" s="389"/>
      <c r="E26" s="389"/>
      <c r="F26" s="389"/>
      <c r="G26" s="380">
        <v>21</v>
      </c>
      <c r="H26" s="380"/>
      <c r="I26" s="380"/>
      <c r="J26" s="389" t="s">
        <v>1</v>
      </c>
      <c r="K26" s="389"/>
      <c r="L26" s="389"/>
      <c r="M26" s="389"/>
      <c r="N26" s="22"/>
      <c r="O26" s="820">
        <v>8</v>
      </c>
      <c r="P26" s="820"/>
      <c r="Q26" s="820"/>
      <c r="R26" s="820"/>
      <c r="S26" s="820"/>
      <c r="T26" s="820"/>
      <c r="U26" s="820">
        <v>20</v>
      </c>
      <c r="V26" s="820"/>
      <c r="W26" s="820"/>
      <c r="X26" s="820"/>
      <c r="Y26" s="820"/>
      <c r="Z26" s="820"/>
      <c r="AA26" s="820">
        <v>60</v>
      </c>
      <c r="AB26" s="820"/>
      <c r="AC26" s="820"/>
      <c r="AD26" s="820"/>
      <c r="AE26" s="820"/>
      <c r="AF26" s="820"/>
      <c r="AG26" s="391">
        <v>751</v>
      </c>
      <c r="AH26" s="391"/>
      <c r="AI26" s="391"/>
      <c r="AJ26" s="391"/>
      <c r="AK26" s="391"/>
      <c r="AL26" s="391"/>
      <c r="AM26" s="391"/>
      <c r="AN26" s="391">
        <v>111</v>
      </c>
      <c r="AO26" s="391"/>
      <c r="AP26" s="391"/>
      <c r="AQ26" s="391"/>
      <c r="AR26" s="391"/>
      <c r="AS26" s="391"/>
      <c r="AT26" s="391"/>
      <c r="AU26" s="391">
        <v>340</v>
      </c>
      <c r="AV26" s="391"/>
      <c r="AW26" s="391"/>
      <c r="AX26" s="391"/>
      <c r="AY26" s="391"/>
      <c r="AZ26" s="391"/>
      <c r="BA26" s="391"/>
      <c r="BB26" s="391"/>
      <c r="BC26" s="391">
        <v>300</v>
      </c>
      <c r="BD26" s="391"/>
      <c r="BE26" s="391"/>
      <c r="BF26" s="391"/>
      <c r="BG26" s="391"/>
      <c r="BH26" s="391"/>
      <c r="BI26" s="391"/>
      <c r="BJ26" s="391"/>
    </row>
    <row r="27" spans="2:62">
      <c r="G27" s="380">
        <v>22</v>
      </c>
      <c r="H27" s="380"/>
      <c r="I27" s="380"/>
      <c r="N27" s="22"/>
      <c r="O27" s="820">
        <v>8</v>
      </c>
      <c r="P27" s="820"/>
      <c r="Q27" s="820"/>
      <c r="R27" s="820"/>
      <c r="S27" s="820"/>
      <c r="T27" s="820"/>
      <c r="U27" s="820">
        <v>21</v>
      </c>
      <c r="V27" s="820"/>
      <c r="W27" s="820"/>
      <c r="X27" s="820"/>
      <c r="Y27" s="820"/>
      <c r="Z27" s="820"/>
      <c r="AA27" s="820">
        <v>75</v>
      </c>
      <c r="AB27" s="820"/>
      <c r="AC27" s="820"/>
      <c r="AD27" s="820"/>
      <c r="AE27" s="820"/>
      <c r="AF27" s="820"/>
      <c r="AG27" s="391">
        <v>852</v>
      </c>
      <c r="AH27" s="391"/>
      <c r="AI27" s="391"/>
      <c r="AJ27" s="391"/>
      <c r="AK27" s="391"/>
      <c r="AL27" s="391"/>
      <c r="AM27" s="391"/>
      <c r="AN27" s="391">
        <v>132</v>
      </c>
      <c r="AO27" s="391"/>
      <c r="AP27" s="391"/>
      <c r="AQ27" s="391"/>
      <c r="AR27" s="391"/>
      <c r="AS27" s="391"/>
      <c r="AT27" s="391"/>
      <c r="AU27" s="391">
        <v>442</v>
      </c>
      <c r="AV27" s="391"/>
      <c r="AW27" s="391"/>
      <c r="AX27" s="391"/>
      <c r="AY27" s="391"/>
      <c r="AZ27" s="391"/>
      <c r="BA27" s="391"/>
      <c r="BB27" s="391"/>
      <c r="BC27" s="391">
        <v>278</v>
      </c>
      <c r="BD27" s="391"/>
      <c r="BE27" s="391"/>
      <c r="BF27" s="391"/>
      <c r="BG27" s="391"/>
      <c r="BH27" s="391"/>
      <c r="BI27" s="391"/>
      <c r="BJ27" s="391"/>
    </row>
    <row r="28" spans="2:62">
      <c r="G28" s="380">
        <v>23</v>
      </c>
      <c r="H28" s="380"/>
      <c r="I28" s="380"/>
      <c r="N28" s="22"/>
      <c r="O28" s="820">
        <v>8</v>
      </c>
      <c r="P28" s="820"/>
      <c r="Q28" s="820"/>
      <c r="R28" s="820"/>
      <c r="S28" s="820"/>
      <c r="T28" s="820"/>
      <c r="U28" s="820">
        <v>21</v>
      </c>
      <c r="V28" s="820"/>
      <c r="W28" s="820"/>
      <c r="X28" s="820"/>
      <c r="Y28" s="820"/>
      <c r="Z28" s="820"/>
      <c r="AA28" s="820">
        <v>75</v>
      </c>
      <c r="AB28" s="820"/>
      <c r="AC28" s="820"/>
      <c r="AD28" s="820"/>
      <c r="AE28" s="820"/>
      <c r="AF28" s="820"/>
      <c r="AG28" s="391">
        <v>841</v>
      </c>
      <c r="AH28" s="391"/>
      <c r="AI28" s="391"/>
      <c r="AJ28" s="391"/>
      <c r="AK28" s="391"/>
      <c r="AL28" s="391"/>
      <c r="AM28" s="391"/>
      <c r="AN28" s="391">
        <v>185</v>
      </c>
      <c r="AO28" s="391"/>
      <c r="AP28" s="391"/>
      <c r="AQ28" s="391"/>
      <c r="AR28" s="391"/>
      <c r="AS28" s="391"/>
      <c r="AT28" s="391"/>
      <c r="AU28" s="391">
        <v>347</v>
      </c>
      <c r="AV28" s="391"/>
      <c r="AW28" s="391"/>
      <c r="AX28" s="391"/>
      <c r="AY28" s="391"/>
      <c r="AZ28" s="391"/>
      <c r="BA28" s="391"/>
      <c r="BB28" s="391"/>
      <c r="BC28" s="391">
        <v>309</v>
      </c>
      <c r="BD28" s="391"/>
      <c r="BE28" s="391"/>
      <c r="BF28" s="391"/>
      <c r="BG28" s="391"/>
      <c r="BH28" s="391"/>
      <c r="BI28" s="391"/>
      <c r="BJ28" s="391"/>
    </row>
    <row r="29" spans="2:62">
      <c r="G29" s="380">
        <v>24</v>
      </c>
      <c r="H29" s="380"/>
      <c r="I29" s="380"/>
      <c r="N29" s="22"/>
      <c r="O29" s="806">
        <v>8</v>
      </c>
      <c r="P29" s="806"/>
      <c r="Q29" s="806"/>
      <c r="R29" s="806"/>
      <c r="S29" s="806"/>
      <c r="T29" s="806"/>
      <c r="U29" s="806">
        <v>21</v>
      </c>
      <c r="V29" s="806"/>
      <c r="W29" s="806"/>
      <c r="X29" s="806"/>
      <c r="Y29" s="806"/>
      <c r="Z29" s="806"/>
      <c r="AA29" s="806">
        <v>75</v>
      </c>
      <c r="AB29" s="806"/>
      <c r="AC29" s="806"/>
      <c r="AD29" s="806"/>
      <c r="AE29" s="806"/>
      <c r="AF29" s="806"/>
      <c r="AG29" s="391">
        <f>SUM(AN29:BJ29)</f>
        <v>821</v>
      </c>
      <c r="AH29" s="391"/>
      <c r="AI29" s="391"/>
      <c r="AJ29" s="391"/>
      <c r="AK29" s="391"/>
      <c r="AL29" s="391"/>
      <c r="AM29" s="391"/>
      <c r="AN29" s="391">
        <v>160</v>
      </c>
      <c r="AO29" s="391"/>
      <c r="AP29" s="391"/>
      <c r="AQ29" s="391"/>
      <c r="AR29" s="391"/>
      <c r="AS29" s="391"/>
      <c r="AT29" s="391"/>
      <c r="AU29" s="391">
        <v>416</v>
      </c>
      <c r="AV29" s="391"/>
      <c r="AW29" s="391"/>
      <c r="AX29" s="391"/>
      <c r="AY29" s="391"/>
      <c r="AZ29" s="391"/>
      <c r="BA29" s="391"/>
      <c r="BB29" s="391"/>
      <c r="BC29" s="391">
        <v>245</v>
      </c>
      <c r="BD29" s="391"/>
      <c r="BE29" s="391"/>
      <c r="BF29" s="391"/>
      <c r="BG29" s="391"/>
      <c r="BH29" s="391"/>
      <c r="BI29" s="391"/>
      <c r="BJ29" s="391"/>
    </row>
    <row r="30" spans="2:62">
      <c r="G30" s="392">
        <v>25</v>
      </c>
      <c r="H30" s="392"/>
      <c r="I30" s="392"/>
      <c r="J30" s="245"/>
      <c r="K30" s="245"/>
      <c r="L30" s="245"/>
      <c r="M30" s="245"/>
      <c r="N30" s="276"/>
      <c r="O30" s="814">
        <v>8</v>
      </c>
      <c r="P30" s="814"/>
      <c r="Q30" s="814"/>
      <c r="R30" s="814"/>
      <c r="S30" s="814"/>
      <c r="T30" s="814"/>
      <c r="U30" s="814">
        <v>16</v>
      </c>
      <c r="V30" s="814"/>
      <c r="W30" s="814"/>
      <c r="X30" s="814"/>
      <c r="Y30" s="814"/>
      <c r="Z30" s="814"/>
      <c r="AA30" s="814">
        <v>60</v>
      </c>
      <c r="AB30" s="814"/>
      <c r="AC30" s="814"/>
      <c r="AD30" s="814"/>
      <c r="AE30" s="814"/>
      <c r="AF30" s="814"/>
      <c r="AG30" s="821" t="s">
        <v>635</v>
      </c>
      <c r="AH30" s="821"/>
      <c r="AI30" s="821"/>
      <c r="AJ30" s="821"/>
      <c r="AK30" s="821"/>
      <c r="AL30" s="821"/>
      <c r="AM30" s="821"/>
      <c r="AN30" s="821" t="s">
        <v>635</v>
      </c>
      <c r="AO30" s="821"/>
      <c r="AP30" s="821"/>
      <c r="AQ30" s="821"/>
      <c r="AR30" s="821"/>
      <c r="AS30" s="821"/>
      <c r="AT30" s="821"/>
      <c r="AU30" s="821" t="s">
        <v>635</v>
      </c>
      <c r="AV30" s="821"/>
      <c r="AW30" s="821"/>
      <c r="AX30" s="821"/>
      <c r="AY30" s="821"/>
      <c r="AZ30" s="821"/>
      <c r="BA30" s="821"/>
      <c r="BB30" s="821"/>
      <c r="BC30" s="821" t="s">
        <v>635</v>
      </c>
      <c r="BD30" s="821"/>
      <c r="BE30" s="821"/>
      <c r="BF30" s="821"/>
      <c r="BG30" s="821"/>
      <c r="BH30" s="821"/>
      <c r="BI30" s="821"/>
      <c r="BJ30" s="821"/>
    </row>
    <row r="31" spans="2:6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2:62">
      <c r="C32" s="400" t="s">
        <v>8</v>
      </c>
      <c r="D32" s="400"/>
      <c r="E32" s="297" t="s">
        <v>10</v>
      </c>
      <c r="F32" s="377">
        <v>-1</v>
      </c>
      <c r="G32" s="377"/>
      <c r="H32" s="2" t="s">
        <v>634</v>
      </c>
    </row>
    <row r="33" spans="2:8">
      <c r="F33" s="809">
        <v>-2</v>
      </c>
      <c r="G33" s="809"/>
      <c r="H33" s="2" t="s">
        <v>633</v>
      </c>
    </row>
    <row r="34" spans="2:8">
      <c r="F34" s="809">
        <v>-3</v>
      </c>
      <c r="G34" s="809"/>
      <c r="H34" s="2" t="s">
        <v>632</v>
      </c>
    </row>
    <row r="35" spans="2:8">
      <c r="B35" s="404" t="s">
        <v>9</v>
      </c>
      <c r="C35" s="404"/>
      <c r="D35" s="404"/>
      <c r="E35" s="297" t="s">
        <v>10</v>
      </c>
      <c r="F35" s="2" t="s">
        <v>546</v>
      </c>
    </row>
  </sheetData>
  <mergeCells count="106">
    <mergeCell ref="AG29:AM29"/>
    <mergeCell ref="AG28:AM28"/>
    <mergeCell ref="BC27:BJ27"/>
    <mergeCell ref="BC28:BJ28"/>
    <mergeCell ref="BC29:BJ29"/>
    <mergeCell ref="BC30:BJ30"/>
    <mergeCell ref="AU26:BB26"/>
    <mergeCell ref="AU27:BB27"/>
    <mergeCell ref="AU28:BB28"/>
    <mergeCell ref="AU29:BB29"/>
    <mergeCell ref="AU30:BB30"/>
    <mergeCell ref="AU24:BB24"/>
    <mergeCell ref="BC24:BJ24"/>
    <mergeCell ref="U26:Z26"/>
    <mergeCell ref="AA26:AF26"/>
    <mergeCell ref="O26:T26"/>
    <mergeCell ref="B21:BJ21"/>
    <mergeCell ref="B23:N24"/>
    <mergeCell ref="O23:T24"/>
    <mergeCell ref="U23:Z24"/>
    <mergeCell ref="AA23:AF24"/>
    <mergeCell ref="AG23:BJ23"/>
    <mergeCell ref="AG24:AM24"/>
    <mergeCell ref="AN24:AT24"/>
    <mergeCell ref="BC26:BJ26"/>
    <mergeCell ref="AG26:AM26"/>
    <mergeCell ref="AN26:AT26"/>
    <mergeCell ref="F33:G33"/>
    <mergeCell ref="G29:I29"/>
    <mergeCell ref="U27:Z27"/>
    <mergeCell ref="F34:G34"/>
    <mergeCell ref="AA27:AF27"/>
    <mergeCell ref="B35:D35"/>
    <mergeCell ref="U30:Z30"/>
    <mergeCell ref="G30:I30"/>
    <mergeCell ref="G27:I27"/>
    <mergeCell ref="G28:I28"/>
    <mergeCell ref="C32:D32"/>
    <mergeCell ref="F32:G32"/>
    <mergeCell ref="C10:F10"/>
    <mergeCell ref="G10:H10"/>
    <mergeCell ref="I10:L10"/>
    <mergeCell ref="N10:T10"/>
    <mergeCell ref="O28:T28"/>
    <mergeCell ref="O30:T30"/>
    <mergeCell ref="AN29:AT29"/>
    <mergeCell ref="AN30:AT30"/>
    <mergeCell ref="AG30:AM30"/>
    <mergeCell ref="O27:T27"/>
    <mergeCell ref="U28:Z28"/>
    <mergeCell ref="AA28:AF28"/>
    <mergeCell ref="U29:Z29"/>
    <mergeCell ref="AA29:AF29"/>
    <mergeCell ref="O29:T29"/>
    <mergeCell ref="AA30:AF30"/>
    <mergeCell ref="C26:F26"/>
    <mergeCell ref="J26:M26"/>
    <mergeCell ref="G26:I26"/>
    <mergeCell ref="AG27:AM27"/>
    <mergeCell ref="AN27:AT27"/>
    <mergeCell ref="AN28:AT28"/>
    <mergeCell ref="C16:D16"/>
    <mergeCell ref="B17:D17"/>
    <mergeCell ref="G13:H13"/>
    <mergeCell ref="U10:AA10"/>
    <mergeCell ref="AJ10:AR10"/>
    <mergeCell ref="AS10:BA10"/>
    <mergeCell ref="N13:T13"/>
    <mergeCell ref="U13:AA13"/>
    <mergeCell ref="AB13:AI13"/>
    <mergeCell ref="AJ13:AR13"/>
    <mergeCell ref="AS13:BA13"/>
    <mergeCell ref="AJ11:AR11"/>
    <mergeCell ref="AS11:BA11"/>
    <mergeCell ref="BB10:BJ10"/>
    <mergeCell ref="BB11:BJ11"/>
    <mergeCell ref="BB12:BJ12"/>
    <mergeCell ref="AB10:AI10"/>
    <mergeCell ref="G11:H11"/>
    <mergeCell ref="N11:T11"/>
    <mergeCell ref="U11:AA11"/>
    <mergeCell ref="AB11:AI11"/>
    <mergeCell ref="A1:S2"/>
    <mergeCell ref="B5:BJ5"/>
    <mergeCell ref="B7:M8"/>
    <mergeCell ref="N7:T8"/>
    <mergeCell ref="U7:AA8"/>
    <mergeCell ref="AB7:BJ7"/>
    <mergeCell ref="AB8:AI8"/>
    <mergeCell ref="AJ8:AR8"/>
    <mergeCell ref="AS8:BA8"/>
    <mergeCell ref="BB8:BJ8"/>
    <mergeCell ref="U12:AA12"/>
    <mergeCell ref="AB12:AI12"/>
    <mergeCell ref="AJ12:AR12"/>
    <mergeCell ref="AS12:BA12"/>
    <mergeCell ref="BB13:BJ13"/>
    <mergeCell ref="G12:H12"/>
    <mergeCell ref="N12:T12"/>
    <mergeCell ref="G14:H14"/>
    <mergeCell ref="N14:T14"/>
    <mergeCell ref="U14:AA14"/>
    <mergeCell ref="AB14:AI14"/>
    <mergeCell ref="AJ14:AR14"/>
    <mergeCell ref="AS14:BA14"/>
    <mergeCell ref="BB14:BJ14"/>
  </mergeCells>
  <phoneticPr fontId="2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67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AS1" s="444">
        <f>'204'!A1+1</f>
        <v>205</v>
      </c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</row>
    <row r="2" spans="2:63" ht="11.1" customHeight="1"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</row>
    <row r="3" spans="2:63" ht="11.1" customHeight="1"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</row>
    <row r="4" spans="2:63" ht="11.1" customHeight="1"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</row>
    <row r="5" spans="2:63" ht="18" customHeight="1">
      <c r="B5" s="379" t="s">
        <v>679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</row>
    <row r="6" spans="2:63" ht="12.95" customHeight="1">
      <c r="BJ6" s="20" t="s">
        <v>678</v>
      </c>
    </row>
    <row r="7" spans="2:63" ht="15" customHeight="1">
      <c r="B7" s="411" t="s">
        <v>677</v>
      </c>
      <c r="C7" s="752"/>
      <c r="D7" s="752"/>
      <c r="E7" s="752"/>
      <c r="F7" s="752"/>
      <c r="G7" s="752"/>
      <c r="H7" s="752"/>
      <c r="I7" s="752"/>
      <c r="J7" s="752"/>
      <c r="K7" s="752"/>
      <c r="L7" s="752"/>
      <c r="M7" s="752"/>
      <c r="N7" s="386" t="s">
        <v>676</v>
      </c>
      <c r="O7" s="752"/>
      <c r="P7" s="752"/>
      <c r="Q7" s="752"/>
      <c r="R7" s="386" t="s">
        <v>651</v>
      </c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 t="s">
        <v>675</v>
      </c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7"/>
    </row>
    <row r="8" spans="2:63" ht="15" customHeight="1">
      <c r="B8" s="762"/>
      <c r="C8" s="753"/>
      <c r="D8" s="753"/>
      <c r="E8" s="753"/>
      <c r="F8" s="753"/>
      <c r="G8" s="753"/>
      <c r="H8" s="753"/>
      <c r="I8" s="753"/>
      <c r="J8" s="753"/>
      <c r="K8" s="753"/>
      <c r="L8" s="753"/>
      <c r="M8" s="753"/>
      <c r="N8" s="753"/>
      <c r="O8" s="753"/>
      <c r="P8" s="753"/>
      <c r="Q8" s="753"/>
      <c r="R8" s="385" t="s">
        <v>674</v>
      </c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 t="s">
        <v>673</v>
      </c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470" t="s">
        <v>238</v>
      </c>
      <c r="AW8" s="470"/>
      <c r="AX8" s="470"/>
      <c r="AY8" s="470"/>
      <c r="AZ8" s="470"/>
      <c r="BA8" s="470" t="s">
        <v>644</v>
      </c>
      <c r="BB8" s="470"/>
      <c r="BC8" s="470"/>
      <c r="BD8" s="470"/>
      <c r="BE8" s="470"/>
      <c r="BF8" s="470" t="s">
        <v>643</v>
      </c>
      <c r="BG8" s="470"/>
      <c r="BH8" s="470"/>
      <c r="BI8" s="470"/>
      <c r="BJ8" s="471"/>
    </row>
    <row r="9" spans="2:63" ht="15" customHeight="1">
      <c r="B9" s="762"/>
      <c r="C9" s="753"/>
      <c r="D9" s="753"/>
      <c r="E9" s="753"/>
      <c r="F9" s="753"/>
      <c r="G9" s="753"/>
      <c r="H9" s="753"/>
      <c r="I9" s="753"/>
      <c r="J9" s="753"/>
      <c r="K9" s="753"/>
      <c r="L9" s="753"/>
      <c r="M9" s="753"/>
      <c r="N9" s="753"/>
      <c r="O9" s="753"/>
      <c r="P9" s="753"/>
      <c r="Q9" s="753"/>
      <c r="R9" s="470" t="s">
        <v>238</v>
      </c>
      <c r="S9" s="470"/>
      <c r="T9" s="470"/>
      <c r="U9" s="470"/>
      <c r="V9" s="470"/>
      <c r="W9" s="470" t="s">
        <v>644</v>
      </c>
      <c r="X9" s="470"/>
      <c r="Y9" s="470"/>
      <c r="Z9" s="470"/>
      <c r="AA9" s="470"/>
      <c r="AB9" s="470" t="s">
        <v>643</v>
      </c>
      <c r="AC9" s="470"/>
      <c r="AD9" s="470"/>
      <c r="AE9" s="470"/>
      <c r="AF9" s="470"/>
      <c r="AG9" s="470" t="s">
        <v>238</v>
      </c>
      <c r="AH9" s="470"/>
      <c r="AI9" s="470"/>
      <c r="AJ9" s="470"/>
      <c r="AK9" s="470"/>
      <c r="AL9" s="470" t="s">
        <v>644</v>
      </c>
      <c r="AM9" s="470"/>
      <c r="AN9" s="470"/>
      <c r="AO9" s="470"/>
      <c r="AP9" s="470"/>
      <c r="AQ9" s="470" t="s">
        <v>643</v>
      </c>
      <c r="AR9" s="470"/>
      <c r="AS9" s="470"/>
      <c r="AT9" s="470"/>
      <c r="AU9" s="470"/>
      <c r="AV9" s="470"/>
      <c r="AW9" s="470"/>
      <c r="AX9" s="470"/>
      <c r="AY9" s="470"/>
      <c r="AZ9" s="470"/>
      <c r="BA9" s="470"/>
      <c r="BB9" s="470"/>
      <c r="BC9" s="470"/>
      <c r="BD9" s="470"/>
      <c r="BE9" s="470"/>
      <c r="BF9" s="470"/>
      <c r="BG9" s="470"/>
      <c r="BH9" s="470"/>
      <c r="BI9" s="470"/>
      <c r="BJ9" s="471"/>
    </row>
    <row r="10" spans="2:63">
      <c r="M10" s="21"/>
    </row>
    <row r="11" spans="2:63">
      <c r="C11" s="807" t="s">
        <v>672</v>
      </c>
      <c r="D11" s="768"/>
      <c r="E11" s="768"/>
      <c r="F11" s="768"/>
      <c r="G11" s="768"/>
      <c r="H11" s="768"/>
      <c r="I11" s="298"/>
      <c r="J11" s="807" t="s">
        <v>18</v>
      </c>
      <c r="K11" s="807"/>
      <c r="L11" s="807"/>
      <c r="M11" s="341"/>
      <c r="N11" s="396">
        <v>67</v>
      </c>
      <c r="O11" s="827"/>
      <c r="P11" s="827"/>
      <c r="Q11" s="827"/>
      <c r="R11" s="396">
        <v>1730</v>
      </c>
      <c r="S11" s="396"/>
      <c r="T11" s="396"/>
      <c r="U11" s="396"/>
      <c r="V11" s="396"/>
      <c r="W11" s="396">
        <v>632</v>
      </c>
      <c r="X11" s="396"/>
      <c r="Y11" s="396"/>
      <c r="Z11" s="396"/>
      <c r="AA11" s="396"/>
      <c r="AB11" s="396">
        <v>1098</v>
      </c>
      <c r="AC11" s="396"/>
      <c r="AD11" s="396"/>
      <c r="AE11" s="396"/>
      <c r="AF11" s="396"/>
      <c r="AG11" s="396">
        <f>SUM(AL11:AU11)</f>
        <v>234</v>
      </c>
      <c r="AH11" s="396"/>
      <c r="AI11" s="396"/>
      <c r="AJ11" s="396"/>
      <c r="AK11" s="396"/>
      <c r="AL11" s="396">
        <v>52</v>
      </c>
      <c r="AM11" s="396"/>
      <c r="AN11" s="396"/>
      <c r="AO11" s="396"/>
      <c r="AP11" s="396"/>
      <c r="AQ11" s="396">
        <v>182</v>
      </c>
      <c r="AR11" s="396"/>
      <c r="AS11" s="396"/>
      <c r="AT11" s="396"/>
      <c r="AU11" s="396"/>
      <c r="AV11" s="396">
        <v>33882</v>
      </c>
      <c r="AW11" s="396"/>
      <c r="AX11" s="396"/>
      <c r="AY11" s="396"/>
      <c r="AZ11" s="396"/>
      <c r="BA11" s="396">
        <v>17474</v>
      </c>
      <c r="BB11" s="396"/>
      <c r="BC11" s="396"/>
      <c r="BD11" s="396"/>
      <c r="BE11" s="396"/>
      <c r="BF11" s="396">
        <v>16408</v>
      </c>
      <c r="BG11" s="396"/>
      <c r="BH11" s="396"/>
      <c r="BI11" s="396"/>
      <c r="BJ11" s="396"/>
    </row>
    <row r="12" spans="2:63">
      <c r="J12" s="389" t="s">
        <v>668</v>
      </c>
      <c r="K12" s="389"/>
      <c r="L12" s="389"/>
      <c r="M12" s="343"/>
      <c r="N12" s="391">
        <f>SUM(N11-(N13+N14))</f>
        <v>1</v>
      </c>
      <c r="O12" s="391"/>
      <c r="P12" s="391"/>
      <c r="Q12" s="391"/>
      <c r="R12" s="391">
        <f>SUM(R11-(R13+R14))</f>
        <v>30</v>
      </c>
      <c r="S12" s="391"/>
      <c r="T12" s="391"/>
      <c r="U12" s="391"/>
      <c r="V12" s="391"/>
      <c r="W12" s="391">
        <f>SUM(W11-(W13+W14))</f>
        <v>19</v>
      </c>
      <c r="X12" s="391"/>
      <c r="Y12" s="391"/>
      <c r="Z12" s="391"/>
      <c r="AA12" s="391"/>
      <c r="AB12" s="391">
        <f>SUM(AB11-(AB13+AB14))</f>
        <v>11</v>
      </c>
      <c r="AC12" s="391"/>
      <c r="AD12" s="391"/>
      <c r="AE12" s="391"/>
      <c r="AF12" s="391"/>
      <c r="AG12" s="391">
        <f>SUM(AG11-(AG13+AG14))</f>
        <v>5</v>
      </c>
      <c r="AH12" s="391"/>
      <c r="AI12" s="391"/>
      <c r="AJ12" s="391"/>
      <c r="AK12" s="391"/>
      <c r="AL12" s="391">
        <f>SUM(AL11-(AL13+AL14))</f>
        <v>2</v>
      </c>
      <c r="AM12" s="391"/>
      <c r="AN12" s="391"/>
      <c r="AO12" s="391"/>
      <c r="AP12" s="391"/>
      <c r="AQ12" s="391">
        <f>SUM(AQ11-(AQ13+AQ14))</f>
        <v>3</v>
      </c>
      <c r="AR12" s="391"/>
      <c r="AS12" s="391"/>
      <c r="AT12" s="391"/>
      <c r="AU12" s="391"/>
      <c r="AV12" s="391">
        <f>SUM(AV11-(AV13+AV14))</f>
        <v>576</v>
      </c>
      <c r="AW12" s="391"/>
      <c r="AX12" s="391"/>
      <c r="AY12" s="391"/>
      <c r="AZ12" s="391"/>
      <c r="BA12" s="391">
        <f>SUM(BA11-(BA13+BA14))</f>
        <v>284</v>
      </c>
      <c r="BB12" s="391"/>
      <c r="BC12" s="391"/>
      <c r="BD12" s="391"/>
      <c r="BE12" s="391"/>
      <c r="BF12" s="391">
        <f>SUM(BF11-(BF13+BF14))</f>
        <v>292</v>
      </c>
      <c r="BG12" s="391"/>
      <c r="BH12" s="391"/>
      <c r="BI12" s="391"/>
      <c r="BJ12" s="391"/>
    </row>
    <row r="13" spans="2:63">
      <c r="J13" s="389" t="s">
        <v>645</v>
      </c>
      <c r="K13" s="389"/>
      <c r="L13" s="389"/>
      <c r="M13" s="343"/>
      <c r="N13" s="391">
        <v>65</v>
      </c>
      <c r="O13" s="391"/>
      <c r="P13" s="391"/>
      <c r="Q13" s="391"/>
      <c r="R13" s="391">
        <v>1687</v>
      </c>
      <c r="S13" s="391"/>
      <c r="T13" s="391"/>
      <c r="U13" s="391"/>
      <c r="V13" s="391"/>
      <c r="W13" s="391">
        <v>609</v>
      </c>
      <c r="X13" s="391"/>
      <c r="Y13" s="391"/>
      <c r="Z13" s="391"/>
      <c r="AA13" s="391"/>
      <c r="AB13" s="391">
        <v>1078</v>
      </c>
      <c r="AC13" s="391"/>
      <c r="AD13" s="391"/>
      <c r="AE13" s="391"/>
      <c r="AF13" s="391"/>
      <c r="AG13" s="391">
        <f>SUM(AL13:AU13)</f>
        <v>229</v>
      </c>
      <c r="AH13" s="391"/>
      <c r="AI13" s="391"/>
      <c r="AJ13" s="391"/>
      <c r="AK13" s="391"/>
      <c r="AL13" s="391">
        <v>50</v>
      </c>
      <c r="AM13" s="391"/>
      <c r="AN13" s="391"/>
      <c r="AO13" s="391"/>
      <c r="AP13" s="391"/>
      <c r="AQ13" s="391">
        <v>179</v>
      </c>
      <c r="AR13" s="391"/>
      <c r="AS13" s="391"/>
      <c r="AT13" s="391"/>
      <c r="AU13" s="391"/>
      <c r="AV13" s="391">
        <v>33155</v>
      </c>
      <c r="AW13" s="391"/>
      <c r="AX13" s="391"/>
      <c r="AY13" s="391"/>
      <c r="AZ13" s="391"/>
      <c r="BA13" s="391">
        <v>17111</v>
      </c>
      <c r="BB13" s="391"/>
      <c r="BC13" s="391"/>
      <c r="BD13" s="391"/>
      <c r="BE13" s="391"/>
      <c r="BF13" s="391">
        <v>16044</v>
      </c>
      <c r="BG13" s="391"/>
      <c r="BH13" s="391"/>
      <c r="BI13" s="391"/>
      <c r="BJ13" s="391"/>
    </row>
    <row r="14" spans="2:63">
      <c r="J14" s="389" t="s">
        <v>626</v>
      </c>
      <c r="K14" s="389"/>
      <c r="L14" s="389"/>
      <c r="M14" s="343"/>
      <c r="N14" s="391">
        <v>1</v>
      </c>
      <c r="O14" s="391"/>
      <c r="P14" s="391"/>
      <c r="Q14" s="391"/>
      <c r="R14" s="391">
        <v>13</v>
      </c>
      <c r="S14" s="391"/>
      <c r="T14" s="391"/>
      <c r="U14" s="391"/>
      <c r="V14" s="391"/>
      <c r="W14" s="391">
        <v>4</v>
      </c>
      <c r="X14" s="391"/>
      <c r="Y14" s="391"/>
      <c r="Z14" s="391"/>
      <c r="AA14" s="391"/>
      <c r="AB14" s="391">
        <v>9</v>
      </c>
      <c r="AC14" s="391"/>
      <c r="AD14" s="391"/>
      <c r="AE14" s="391"/>
      <c r="AF14" s="391"/>
      <c r="AG14" s="391">
        <f>SUM(AL14:AU14)</f>
        <v>0</v>
      </c>
      <c r="AH14" s="391"/>
      <c r="AI14" s="391"/>
      <c r="AJ14" s="391"/>
      <c r="AK14" s="391"/>
      <c r="AL14" s="391">
        <v>0</v>
      </c>
      <c r="AM14" s="391"/>
      <c r="AN14" s="391"/>
      <c r="AO14" s="391"/>
      <c r="AP14" s="391"/>
      <c r="AQ14" s="391">
        <v>0</v>
      </c>
      <c r="AR14" s="391"/>
      <c r="AS14" s="391"/>
      <c r="AT14" s="391"/>
      <c r="AU14" s="391"/>
      <c r="AV14" s="391">
        <v>151</v>
      </c>
      <c r="AW14" s="391"/>
      <c r="AX14" s="391"/>
      <c r="AY14" s="391"/>
      <c r="AZ14" s="391"/>
      <c r="BA14" s="391">
        <v>79</v>
      </c>
      <c r="BB14" s="391"/>
      <c r="BC14" s="391"/>
      <c r="BD14" s="391"/>
      <c r="BE14" s="391"/>
      <c r="BF14" s="391">
        <v>72</v>
      </c>
      <c r="BG14" s="391"/>
      <c r="BH14" s="391"/>
      <c r="BI14" s="391"/>
      <c r="BJ14" s="391"/>
    </row>
    <row r="15" spans="2:63">
      <c r="M15" s="2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</row>
    <row r="16" spans="2:63">
      <c r="C16" s="807" t="s">
        <v>671</v>
      </c>
      <c r="D16" s="768"/>
      <c r="E16" s="768"/>
      <c r="F16" s="768"/>
      <c r="G16" s="768"/>
      <c r="H16" s="768"/>
      <c r="I16" s="298"/>
      <c r="J16" s="807" t="s">
        <v>18</v>
      </c>
      <c r="K16" s="807"/>
      <c r="L16" s="807"/>
      <c r="M16" s="341"/>
      <c r="N16" s="396">
        <v>40</v>
      </c>
      <c r="O16" s="827"/>
      <c r="P16" s="827"/>
      <c r="Q16" s="827"/>
      <c r="R16" s="396">
        <v>943</v>
      </c>
      <c r="S16" s="396"/>
      <c r="T16" s="396"/>
      <c r="U16" s="396"/>
      <c r="V16" s="396"/>
      <c r="W16" s="396">
        <v>542</v>
      </c>
      <c r="X16" s="396"/>
      <c r="Y16" s="396"/>
      <c r="Z16" s="396"/>
      <c r="AA16" s="396"/>
      <c r="AB16" s="396">
        <v>401</v>
      </c>
      <c r="AC16" s="396"/>
      <c r="AD16" s="396"/>
      <c r="AE16" s="396"/>
      <c r="AF16" s="396"/>
      <c r="AG16" s="396">
        <f>SUM(AL16:AU16)</f>
        <v>311</v>
      </c>
      <c r="AH16" s="396"/>
      <c r="AI16" s="396"/>
      <c r="AJ16" s="396"/>
      <c r="AK16" s="396"/>
      <c r="AL16" s="396">
        <v>163</v>
      </c>
      <c r="AM16" s="396"/>
      <c r="AN16" s="396"/>
      <c r="AO16" s="396"/>
      <c r="AP16" s="396"/>
      <c r="AQ16" s="396">
        <v>148</v>
      </c>
      <c r="AR16" s="396"/>
      <c r="AS16" s="396"/>
      <c r="AT16" s="396"/>
      <c r="AU16" s="396"/>
      <c r="AV16" s="396">
        <v>16090</v>
      </c>
      <c r="AW16" s="396"/>
      <c r="AX16" s="396"/>
      <c r="AY16" s="396"/>
      <c r="AZ16" s="396"/>
      <c r="BA16" s="396">
        <v>8521</v>
      </c>
      <c r="BB16" s="396"/>
      <c r="BC16" s="396"/>
      <c r="BD16" s="396"/>
      <c r="BE16" s="396"/>
      <c r="BF16" s="396">
        <v>7569</v>
      </c>
      <c r="BG16" s="396"/>
      <c r="BH16" s="396"/>
      <c r="BI16" s="396"/>
      <c r="BJ16" s="396"/>
    </row>
    <row r="17" spans="3:62">
      <c r="J17" s="389" t="s">
        <v>668</v>
      </c>
      <c r="K17" s="389"/>
      <c r="L17" s="389"/>
      <c r="M17" s="343"/>
      <c r="N17" s="391">
        <v>0</v>
      </c>
      <c r="O17" s="391"/>
      <c r="P17" s="391"/>
      <c r="Q17" s="391"/>
      <c r="R17" s="391">
        <v>0</v>
      </c>
      <c r="S17" s="391"/>
      <c r="T17" s="391"/>
      <c r="U17" s="391"/>
      <c r="V17" s="391"/>
      <c r="W17" s="391">
        <v>0</v>
      </c>
      <c r="X17" s="391"/>
      <c r="Y17" s="391"/>
      <c r="Z17" s="391"/>
      <c r="AA17" s="391"/>
      <c r="AB17" s="391">
        <v>0</v>
      </c>
      <c r="AC17" s="391"/>
      <c r="AD17" s="391"/>
      <c r="AE17" s="391"/>
      <c r="AF17" s="391"/>
      <c r="AG17" s="391">
        <v>0</v>
      </c>
      <c r="AH17" s="391"/>
      <c r="AI17" s="391"/>
      <c r="AJ17" s="391"/>
      <c r="AK17" s="391"/>
      <c r="AL17" s="391">
        <v>0</v>
      </c>
      <c r="AM17" s="391"/>
      <c r="AN17" s="391"/>
      <c r="AO17" s="391"/>
      <c r="AP17" s="391"/>
      <c r="AQ17" s="391">
        <v>0</v>
      </c>
      <c r="AR17" s="391"/>
      <c r="AS17" s="391"/>
      <c r="AT17" s="391"/>
      <c r="AU17" s="391"/>
      <c r="AV17" s="391">
        <v>0</v>
      </c>
      <c r="AW17" s="391"/>
      <c r="AX17" s="391"/>
      <c r="AY17" s="391"/>
      <c r="AZ17" s="391"/>
      <c r="BA17" s="391">
        <v>0</v>
      </c>
      <c r="BB17" s="391"/>
      <c r="BC17" s="391"/>
      <c r="BD17" s="391"/>
      <c r="BE17" s="391"/>
      <c r="BF17" s="391">
        <v>0</v>
      </c>
      <c r="BG17" s="391"/>
      <c r="BH17" s="391"/>
      <c r="BI17" s="391"/>
      <c r="BJ17" s="391"/>
    </row>
    <row r="18" spans="3:62">
      <c r="J18" s="389" t="s">
        <v>645</v>
      </c>
      <c r="K18" s="389"/>
      <c r="L18" s="389"/>
      <c r="M18" s="343"/>
      <c r="N18" s="391">
        <v>35</v>
      </c>
      <c r="O18" s="391"/>
      <c r="P18" s="391"/>
      <c r="Q18" s="391"/>
      <c r="R18" s="391">
        <v>856</v>
      </c>
      <c r="S18" s="391"/>
      <c r="T18" s="391"/>
      <c r="U18" s="391"/>
      <c r="V18" s="391"/>
      <c r="W18" s="391">
        <v>487</v>
      </c>
      <c r="X18" s="391"/>
      <c r="Y18" s="391"/>
      <c r="Z18" s="391"/>
      <c r="AA18" s="391"/>
      <c r="AB18" s="391">
        <v>369</v>
      </c>
      <c r="AC18" s="391"/>
      <c r="AD18" s="391"/>
      <c r="AE18" s="391"/>
      <c r="AF18" s="391"/>
      <c r="AG18" s="391">
        <f>SUM(AL18:AU18)</f>
        <v>198</v>
      </c>
      <c r="AH18" s="391"/>
      <c r="AI18" s="391"/>
      <c r="AJ18" s="391"/>
      <c r="AK18" s="391"/>
      <c r="AL18" s="391">
        <v>86</v>
      </c>
      <c r="AM18" s="391"/>
      <c r="AN18" s="391"/>
      <c r="AO18" s="391"/>
      <c r="AP18" s="391"/>
      <c r="AQ18" s="391">
        <v>112</v>
      </c>
      <c r="AR18" s="391"/>
      <c r="AS18" s="391"/>
      <c r="AT18" s="391"/>
      <c r="AU18" s="391"/>
      <c r="AV18" s="391">
        <v>14406</v>
      </c>
      <c r="AW18" s="391"/>
      <c r="AX18" s="391"/>
      <c r="AY18" s="391"/>
      <c r="AZ18" s="391"/>
      <c r="BA18" s="391">
        <v>7620</v>
      </c>
      <c r="BB18" s="391"/>
      <c r="BC18" s="391"/>
      <c r="BD18" s="391"/>
      <c r="BE18" s="391"/>
      <c r="BF18" s="391">
        <v>6786</v>
      </c>
      <c r="BG18" s="391"/>
      <c r="BH18" s="391"/>
      <c r="BI18" s="391"/>
      <c r="BJ18" s="391"/>
    </row>
    <row r="19" spans="3:62">
      <c r="J19" s="389" t="s">
        <v>626</v>
      </c>
      <c r="K19" s="389"/>
      <c r="L19" s="389"/>
      <c r="M19" s="343"/>
      <c r="N19" s="391">
        <v>5</v>
      </c>
      <c r="O19" s="391"/>
      <c r="P19" s="391"/>
      <c r="Q19" s="391"/>
      <c r="R19" s="391">
        <v>87</v>
      </c>
      <c r="S19" s="391"/>
      <c r="T19" s="391"/>
      <c r="U19" s="391"/>
      <c r="V19" s="391"/>
      <c r="W19" s="391">
        <v>55</v>
      </c>
      <c r="X19" s="391"/>
      <c r="Y19" s="391"/>
      <c r="Z19" s="391"/>
      <c r="AA19" s="391"/>
      <c r="AB19" s="391">
        <v>32</v>
      </c>
      <c r="AC19" s="391"/>
      <c r="AD19" s="391"/>
      <c r="AE19" s="391"/>
      <c r="AF19" s="391"/>
      <c r="AG19" s="391">
        <f>SUM(AL19:AU19)</f>
        <v>113</v>
      </c>
      <c r="AH19" s="391"/>
      <c r="AI19" s="391"/>
      <c r="AJ19" s="391"/>
      <c r="AK19" s="391"/>
      <c r="AL19" s="391">
        <v>77</v>
      </c>
      <c r="AM19" s="391"/>
      <c r="AN19" s="391"/>
      <c r="AO19" s="391"/>
      <c r="AP19" s="391"/>
      <c r="AQ19" s="391">
        <v>36</v>
      </c>
      <c r="AR19" s="391"/>
      <c r="AS19" s="391"/>
      <c r="AT19" s="391"/>
      <c r="AU19" s="391"/>
      <c r="AV19" s="391">
        <v>1684</v>
      </c>
      <c r="AW19" s="391"/>
      <c r="AX19" s="391"/>
      <c r="AY19" s="391"/>
      <c r="AZ19" s="391"/>
      <c r="BA19" s="391">
        <v>901</v>
      </c>
      <c r="BB19" s="391"/>
      <c r="BC19" s="391"/>
      <c r="BD19" s="391"/>
      <c r="BE19" s="391"/>
      <c r="BF19" s="391">
        <v>783</v>
      </c>
      <c r="BG19" s="391"/>
      <c r="BH19" s="391"/>
      <c r="BI19" s="391"/>
      <c r="BJ19" s="391"/>
    </row>
    <row r="20" spans="3:62">
      <c r="M20" s="2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2"/>
      <c r="BG20" s="342"/>
      <c r="BH20" s="342"/>
      <c r="BI20" s="342"/>
      <c r="BJ20" s="342"/>
    </row>
    <row r="21" spans="3:62">
      <c r="C21" s="807" t="s">
        <v>670</v>
      </c>
      <c r="D21" s="768"/>
      <c r="E21" s="768"/>
      <c r="F21" s="768"/>
      <c r="G21" s="768"/>
      <c r="H21" s="768"/>
      <c r="I21" s="298"/>
      <c r="J21" s="807" t="s">
        <v>18</v>
      </c>
      <c r="K21" s="807"/>
      <c r="L21" s="807"/>
      <c r="M21" s="341"/>
      <c r="N21" s="396">
        <v>14</v>
      </c>
      <c r="O21" s="827"/>
      <c r="P21" s="827"/>
      <c r="Q21" s="827"/>
      <c r="R21" s="396">
        <v>542</v>
      </c>
      <c r="S21" s="396"/>
      <c r="T21" s="396"/>
      <c r="U21" s="396"/>
      <c r="V21" s="396"/>
      <c r="W21" s="396">
        <v>366</v>
      </c>
      <c r="X21" s="396"/>
      <c r="Y21" s="396"/>
      <c r="Z21" s="396"/>
      <c r="AA21" s="396"/>
      <c r="AB21" s="396">
        <v>176</v>
      </c>
      <c r="AC21" s="396"/>
      <c r="AD21" s="396"/>
      <c r="AE21" s="396"/>
      <c r="AF21" s="396"/>
      <c r="AG21" s="396">
        <f>SUM(AL21:AU21)</f>
        <v>269</v>
      </c>
      <c r="AH21" s="396"/>
      <c r="AI21" s="396"/>
      <c r="AJ21" s="396"/>
      <c r="AK21" s="396"/>
      <c r="AL21" s="396">
        <v>151</v>
      </c>
      <c r="AM21" s="396"/>
      <c r="AN21" s="396"/>
      <c r="AO21" s="396"/>
      <c r="AP21" s="396"/>
      <c r="AQ21" s="396">
        <v>118</v>
      </c>
      <c r="AR21" s="396"/>
      <c r="AS21" s="396"/>
      <c r="AT21" s="396"/>
      <c r="AU21" s="396"/>
      <c r="AV21" s="396">
        <v>8930</v>
      </c>
      <c r="AW21" s="396"/>
      <c r="AX21" s="396"/>
      <c r="AY21" s="396"/>
      <c r="AZ21" s="396"/>
      <c r="BA21" s="396">
        <v>5000</v>
      </c>
      <c r="BB21" s="396"/>
      <c r="BC21" s="396"/>
      <c r="BD21" s="396"/>
      <c r="BE21" s="396"/>
      <c r="BF21" s="396">
        <v>3930</v>
      </c>
      <c r="BG21" s="396"/>
      <c r="BH21" s="396"/>
      <c r="BI21" s="396"/>
      <c r="BJ21" s="396"/>
    </row>
    <row r="22" spans="3:62">
      <c r="J22" s="389" t="s">
        <v>645</v>
      </c>
      <c r="K22" s="389"/>
      <c r="L22" s="389"/>
      <c r="M22" s="343"/>
      <c r="N22" s="391">
        <v>9</v>
      </c>
      <c r="O22" s="391"/>
      <c r="P22" s="391"/>
      <c r="Q22" s="391"/>
      <c r="R22" s="391">
        <v>405</v>
      </c>
      <c r="S22" s="391"/>
      <c r="T22" s="391"/>
      <c r="U22" s="391"/>
      <c r="V22" s="391"/>
      <c r="W22" s="391">
        <v>254</v>
      </c>
      <c r="X22" s="391"/>
      <c r="Y22" s="391"/>
      <c r="Z22" s="391"/>
      <c r="AA22" s="391"/>
      <c r="AB22" s="391">
        <v>151</v>
      </c>
      <c r="AC22" s="391"/>
      <c r="AD22" s="391"/>
      <c r="AE22" s="391"/>
      <c r="AF22" s="391"/>
      <c r="AG22" s="391">
        <f>SUM(AL22:AU22)</f>
        <v>88</v>
      </c>
      <c r="AH22" s="391"/>
      <c r="AI22" s="391"/>
      <c r="AJ22" s="391"/>
      <c r="AK22" s="391"/>
      <c r="AL22" s="391">
        <v>45</v>
      </c>
      <c r="AM22" s="391"/>
      <c r="AN22" s="391"/>
      <c r="AO22" s="391"/>
      <c r="AP22" s="391"/>
      <c r="AQ22" s="391">
        <v>43</v>
      </c>
      <c r="AR22" s="391"/>
      <c r="AS22" s="391"/>
      <c r="AT22" s="391"/>
      <c r="AU22" s="391"/>
      <c r="AV22" s="391">
        <v>6092</v>
      </c>
      <c r="AW22" s="391"/>
      <c r="AX22" s="391"/>
      <c r="AY22" s="391"/>
      <c r="AZ22" s="391"/>
      <c r="BA22" s="391">
        <v>2987</v>
      </c>
      <c r="BB22" s="391"/>
      <c r="BC22" s="391"/>
      <c r="BD22" s="391"/>
      <c r="BE22" s="391"/>
      <c r="BF22" s="391">
        <v>3105</v>
      </c>
      <c r="BG22" s="391"/>
      <c r="BH22" s="391"/>
      <c r="BI22" s="391"/>
      <c r="BJ22" s="391"/>
    </row>
    <row r="23" spans="3:62">
      <c r="J23" s="389" t="s">
        <v>626</v>
      </c>
      <c r="K23" s="389"/>
      <c r="L23" s="389"/>
      <c r="M23" s="343"/>
      <c r="N23" s="391">
        <v>5</v>
      </c>
      <c r="O23" s="391"/>
      <c r="P23" s="391"/>
      <c r="Q23" s="391"/>
      <c r="R23" s="391">
        <v>137</v>
      </c>
      <c r="S23" s="391"/>
      <c r="T23" s="391"/>
      <c r="U23" s="391"/>
      <c r="V23" s="391"/>
      <c r="W23" s="391">
        <v>112</v>
      </c>
      <c r="X23" s="391"/>
      <c r="Y23" s="391"/>
      <c r="Z23" s="391"/>
      <c r="AA23" s="391"/>
      <c r="AB23" s="391">
        <v>25</v>
      </c>
      <c r="AC23" s="391"/>
      <c r="AD23" s="391"/>
      <c r="AE23" s="391"/>
      <c r="AF23" s="391"/>
      <c r="AG23" s="391">
        <f>SUM(AL23:AU23)</f>
        <v>181</v>
      </c>
      <c r="AH23" s="391"/>
      <c r="AI23" s="391"/>
      <c r="AJ23" s="391"/>
      <c r="AK23" s="391"/>
      <c r="AL23" s="391">
        <v>106</v>
      </c>
      <c r="AM23" s="391"/>
      <c r="AN23" s="391"/>
      <c r="AO23" s="391"/>
      <c r="AP23" s="391"/>
      <c r="AQ23" s="391">
        <v>75</v>
      </c>
      <c r="AR23" s="391"/>
      <c r="AS23" s="391"/>
      <c r="AT23" s="391"/>
      <c r="AU23" s="391"/>
      <c r="AV23" s="391">
        <v>2838</v>
      </c>
      <c r="AW23" s="391"/>
      <c r="AX23" s="391"/>
      <c r="AY23" s="391"/>
      <c r="AZ23" s="391"/>
      <c r="BA23" s="391">
        <v>2013</v>
      </c>
      <c r="BB23" s="391"/>
      <c r="BC23" s="391"/>
      <c r="BD23" s="391"/>
      <c r="BE23" s="391"/>
      <c r="BF23" s="391">
        <v>825</v>
      </c>
      <c r="BG23" s="391"/>
      <c r="BH23" s="391"/>
      <c r="BI23" s="391"/>
      <c r="BJ23" s="391"/>
    </row>
    <row r="24" spans="3:62">
      <c r="M24" s="2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</row>
    <row r="25" spans="3:62">
      <c r="C25" s="828" t="s">
        <v>669</v>
      </c>
      <c r="D25" s="829"/>
      <c r="E25" s="829"/>
      <c r="F25" s="829"/>
      <c r="G25" s="829"/>
      <c r="H25" s="829"/>
      <c r="I25" s="298"/>
      <c r="J25" s="807" t="s">
        <v>668</v>
      </c>
      <c r="K25" s="807"/>
      <c r="L25" s="807"/>
      <c r="M25" s="341"/>
      <c r="N25" s="396">
        <v>1</v>
      </c>
      <c r="O25" s="827"/>
      <c r="P25" s="827"/>
      <c r="Q25" s="827"/>
      <c r="R25" s="396">
        <v>52</v>
      </c>
      <c r="S25" s="396"/>
      <c r="T25" s="396"/>
      <c r="U25" s="396"/>
      <c r="V25" s="396"/>
      <c r="W25" s="396">
        <v>31</v>
      </c>
      <c r="X25" s="396"/>
      <c r="Y25" s="396"/>
      <c r="Z25" s="396"/>
      <c r="AA25" s="396"/>
      <c r="AB25" s="396">
        <v>21</v>
      </c>
      <c r="AC25" s="396"/>
      <c r="AD25" s="396"/>
      <c r="AE25" s="396"/>
      <c r="AF25" s="396"/>
      <c r="AG25" s="396">
        <f>SUM(AL25:AU25)</f>
        <v>42</v>
      </c>
      <c r="AH25" s="396"/>
      <c r="AI25" s="396"/>
      <c r="AJ25" s="396"/>
      <c r="AK25" s="396"/>
      <c r="AL25" s="396">
        <v>26</v>
      </c>
      <c r="AM25" s="396"/>
      <c r="AN25" s="396"/>
      <c r="AO25" s="396"/>
      <c r="AP25" s="396"/>
      <c r="AQ25" s="396">
        <v>16</v>
      </c>
      <c r="AR25" s="396"/>
      <c r="AS25" s="396"/>
      <c r="AT25" s="396"/>
      <c r="AU25" s="396"/>
      <c r="AV25" s="396">
        <v>701</v>
      </c>
      <c r="AW25" s="396"/>
      <c r="AX25" s="396"/>
      <c r="AY25" s="396"/>
      <c r="AZ25" s="396"/>
      <c r="BA25" s="396">
        <v>289</v>
      </c>
      <c r="BB25" s="396"/>
      <c r="BC25" s="396"/>
      <c r="BD25" s="396"/>
      <c r="BE25" s="396"/>
      <c r="BF25" s="396">
        <v>412</v>
      </c>
      <c r="BG25" s="396"/>
      <c r="BH25" s="396"/>
      <c r="BI25" s="396"/>
      <c r="BJ25" s="396"/>
    </row>
    <row r="26" spans="3:62">
      <c r="M26" s="2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</row>
    <row r="27" spans="3:62">
      <c r="C27" s="828" t="s">
        <v>667</v>
      </c>
      <c r="D27" s="829"/>
      <c r="E27" s="829"/>
      <c r="F27" s="829"/>
      <c r="G27" s="829"/>
      <c r="H27" s="829"/>
      <c r="I27" s="298"/>
      <c r="J27" s="807" t="s">
        <v>18</v>
      </c>
      <c r="K27" s="807"/>
      <c r="L27" s="807"/>
      <c r="M27" s="341"/>
      <c r="N27" s="396">
        <v>4</v>
      </c>
      <c r="O27" s="827"/>
      <c r="P27" s="827"/>
      <c r="Q27" s="827"/>
      <c r="R27" s="396">
        <v>272</v>
      </c>
      <c r="S27" s="396"/>
      <c r="T27" s="396"/>
      <c r="U27" s="396"/>
      <c r="V27" s="396"/>
      <c r="W27" s="396">
        <v>118</v>
      </c>
      <c r="X27" s="396"/>
      <c r="Y27" s="396"/>
      <c r="Z27" s="396"/>
      <c r="AA27" s="396"/>
      <c r="AB27" s="396">
        <v>154</v>
      </c>
      <c r="AC27" s="396"/>
      <c r="AD27" s="396"/>
      <c r="AE27" s="396"/>
      <c r="AF27" s="396"/>
      <c r="AG27" s="396">
        <v>17</v>
      </c>
      <c r="AH27" s="396"/>
      <c r="AI27" s="396"/>
      <c r="AJ27" s="396"/>
      <c r="AK27" s="396"/>
      <c r="AL27" s="821" t="s">
        <v>662</v>
      </c>
      <c r="AM27" s="821"/>
      <c r="AN27" s="821"/>
      <c r="AO27" s="821"/>
      <c r="AP27" s="821"/>
      <c r="AQ27" s="821" t="s">
        <v>662</v>
      </c>
      <c r="AR27" s="821"/>
      <c r="AS27" s="821"/>
      <c r="AT27" s="821"/>
      <c r="AU27" s="821"/>
      <c r="AV27" s="396">
        <v>558</v>
      </c>
      <c r="AW27" s="396"/>
      <c r="AX27" s="396"/>
      <c r="AY27" s="396"/>
      <c r="AZ27" s="396"/>
      <c r="BA27" s="396">
        <v>373</v>
      </c>
      <c r="BB27" s="396"/>
      <c r="BC27" s="396"/>
      <c r="BD27" s="396"/>
      <c r="BE27" s="396"/>
      <c r="BF27" s="396">
        <v>185</v>
      </c>
      <c r="BG27" s="396"/>
      <c r="BH27" s="396"/>
      <c r="BI27" s="396"/>
      <c r="BJ27" s="396"/>
    </row>
    <row r="28" spans="3:62">
      <c r="J28" s="389" t="s">
        <v>645</v>
      </c>
      <c r="K28" s="389"/>
      <c r="L28" s="389"/>
      <c r="M28" s="343"/>
      <c r="N28" s="391">
        <v>3</v>
      </c>
      <c r="O28" s="391"/>
      <c r="P28" s="391"/>
      <c r="Q28" s="391"/>
      <c r="R28" s="391">
        <v>227</v>
      </c>
      <c r="S28" s="391"/>
      <c r="T28" s="391"/>
      <c r="U28" s="391"/>
      <c r="V28" s="391"/>
      <c r="W28" s="391">
        <v>94</v>
      </c>
      <c r="X28" s="391"/>
      <c r="Y28" s="391"/>
      <c r="Z28" s="391"/>
      <c r="AA28" s="391"/>
      <c r="AB28" s="391">
        <v>133</v>
      </c>
      <c r="AC28" s="391"/>
      <c r="AD28" s="391"/>
      <c r="AE28" s="391"/>
      <c r="AF28" s="391"/>
      <c r="AG28" s="391">
        <v>16</v>
      </c>
      <c r="AH28" s="391"/>
      <c r="AI28" s="391"/>
      <c r="AJ28" s="391"/>
      <c r="AK28" s="391"/>
      <c r="AL28" s="821" t="s">
        <v>662</v>
      </c>
      <c r="AM28" s="821"/>
      <c r="AN28" s="821"/>
      <c r="AO28" s="821"/>
      <c r="AP28" s="821"/>
      <c r="AQ28" s="821" t="s">
        <v>662</v>
      </c>
      <c r="AR28" s="821"/>
      <c r="AS28" s="821"/>
      <c r="AT28" s="821"/>
      <c r="AU28" s="821"/>
      <c r="AV28" s="391">
        <v>468</v>
      </c>
      <c r="AW28" s="391"/>
      <c r="AX28" s="391"/>
      <c r="AY28" s="391"/>
      <c r="AZ28" s="391"/>
      <c r="BA28" s="391">
        <v>312</v>
      </c>
      <c r="BB28" s="391"/>
      <c r="BC28" s="391"/>
      <c r="BD28" s="391"/>
      <c r="BE28" s="391"/>
      <c r="BF28" s="391">
        <v>156</v>
      </c>
      <c r="BG28" s="391"/>
      <c r="BH28" s="391"/>
      <c r="BI28" s="391"/>
      <c r="BJ28" s="391"/>
    </row>
    <row r="29" spans="3:62">
      <c r="J29" s="389" t="s">
        <v>626</v>
      </c>
      <c r="K29" s="389"/>
      <c r="L29" s="389"/>
      <c r="M29" s="343"/>
      <c r="N29" s="391">
        <v>1</v>
      </c>
      <c r="O29" s="391"/>
      <c r="P29" s="391"/>
      <c r="Q29" s="391"/>
      <c r="R29" s="391">
        <v>45</v>
      </c>
      <c r="S29" s="391"/>
      <c r="T29" s="391"/>
      <c r="U29" s="391"/>
      <c r="V29" s="391"/>
      <c r="W29" s="391">
        <v>24</v>
      </c>
      <c r="X29" s="391"/>
      <c r="Y29" s="391"/>
      <c r="Z29" s="391"/>
      <c r="AA29" s="391"/>
      <c r="AB29" s="391">
        <v>21</v>
      </c>
      <c r="AC29" s="391"/>
      <c r="AD29" s="391"/>
      <c r="AE29" s="391"/>
      <c r="AF29" s="391"/>
      <c r="AG29" s="391">
        <v>1</v>
      </c>
      <c r="AH29" s="391"/>
      <c r="AI29" s="391"/>
      <c r="AJ29" s="391"/>
      <c r="AK29" s="391"/>
      <c r="AL29" s="821" t="s">
        <v>662</v>
      </c>
      <c r="AM29" s="821"/>
      <c r="AN29" s="821"/>
      <c r="AO29" s="821"/>
      <c r="AP29" s="821"/>
      <c r="AQ29" s="821" t="s">
        <v>662</v>
      </c>
      <c r="AR29" s="821"/>
      <c r="AS29" s="821"/>
      <c r="AT29" s="821"/>
      <c r="AU29" s="821"/>
      <c r="AV29" s="391">
        <v>90</v>
      </c>
      <c r="AW29" s="391"/>
      <c r="AX29" s="391"/>
      <c r="AY29" s="391"/>
      <c r="AZ29" s="391"/>
      <c r="BA29" s="391">
        <v>61</v>
      </c>
      <c r="BB29" s="391"/>
      <c r="BC29" s="391"/>
      <c r="BD29" s="391"/>
      <c r="BE29" s="391"/>
      <c r="BF29" s="391">
        <v>29</v>
      </c>
      <c r="BG29" s="391"/>
      <c r="BH29" s="391"/>
      <c r="BI29" s="391"/>
      <c r="BJ29" s="391"/>
    </row>
    <row r="30" spans="3:62">
      <c r="M30" s="2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/>
      <c r="BD30" s="342"/>
      <c r="BE30" s="342"/>
      <c r="BF30" s="342"/>
      <c r="BG30" s="342"/>
      <c r="BH30" s="342"/>
      <c r="BI30" s="342"/>
      <c r="BJ30" s="342"/>
    </row>
    <row r="31" spans="3:62">
      <c r="C31" s="807" t="s">
        <v>666</v>
      </c>
      <c r="D31" s="768"/>
      <c r="E31" s="768"/>
      <c r="F31" s="768"/>
      <c r="G31" s="768"/>
      <c r="H31" s="768"/>
      <c r="I31" s="298"/>
      <c r="J31" s="807"/>
      <c r="K31" s="807"/>
      <c r="L31" s="807"/>
      <c r="M31" s="341"/>
      <c r="N31" s="396">
        <v>0</v>
      </c>
      <c r="O31" s="827"/>
      <c r="P31" s="827"/>
      <c r="Q31" s="827"/>
      <c r="R31" s="396">
        <v>0</v>
      </c>
      <c r="S31" s="396"/>
      <c r="T31" s="396"/>
      <c r="U31" s="396"/>
      <c r="V31" s="396"/>
      <c r="W31" s="396">
        <v>0</v>
      </c>
      <c r="X31" s="396"/>
      <c r="Y31" s="396"/>
      <c r="Z31" s="396"/>
      <c r="AA31" s="396"/>
      <c r="AB31" s="396">
        <v>0</v>
      </c>
      <c r="AC31" s="396"/>
      <c r="AD31" s="396"/>
      <c r="AE31" s="396"/>
      <c r="AF31" s="396"/>
      <c r="AG31" s="396">
        <v>0</v>
      </c>
      <c r="AH31" s="396"/>
      <c r="AI31" s="396"/>
      <c r="AJ31" s="396"/>
      <c r="AK31" s="396"/>
      <c r="AL31" s="396">
        <v>0</v>
      </c>
      <c r="AM31" s="396"/>
      <c r="AN31" s="396"/>
      <c r="AO31" s="396"/>
      <c r="AP31" s="396"/>
      <c r="AQ31" s="396">
        <v>0</v>
      </c>
      <c r="AR31" s="396"/>
      <c r="AS31" s="396"/>
      <c r="AT31" s="396"/>
      <c r="AU31" s="396"/>
      <c r="AV31" s="396">
        <v>0</v>
      </c>
      <c r="AW31" s="396"/>
      <c r="AX31" s="396"/>
      <c r="AY31" s="396"/>
      <c r="AZ31" s="396"/>
      <c r="BA31" s="396">
        <v>0</v>
      </c>
      <c r="BB31" s="396"/>
      <c r="BC31" s="396"/>
      <c r="BD31" s="396"/>
      <c r="BE31" s="396"/>
      <c r="BF31" s="396">
        <v>0</v>
      </c>
      <c r="BG31" s="396"/>
      <c r="BH31" s="396"/>
      <c r="BI31" s="396"/>
      <c r="BJ31" s="396"/>
    </row>
    <row r="32" spans="3:62">
      <c r="M32" s="2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/>
      <c r="BD32" s="342"/>
      <c r="BE32" s="342"/>
      <c r="BF32" s="342"/>
      <c r="BG32" s="342"/>
      <c r="BH32" s="342"/>
      <c r="BI32" s="342"/>
      <c r="BJ32" s="342"/>
    </row>
    <row r="33" spans="2:62">
      <c r="C33" s="807" t="s">
        <v>665</v>
      </c>
      <c r="D33" s="768"/>
      <c r="E33" s="768"/>
      <c r="F33" s="768"/>
      <c r="G33" s="768"/>
      <c r="H33" s="768"/>
      <c r="I33" s="298"/>
      <c r="J33" s="807" t="s">
        <v>626</v>
      </c>
      <c r="K33" s="807"/>
      <c r="L33" s="807"/>
      <c r="M33" s="341"/>
      <c r="N33" s="396">
        <v>2</v>
      </c>
      <c r="O33" s="827"/>
      <c r="P33" s="827"/>
      <c r="Q33" s="827"/>
      <c r="R33" s="396">
        <v>244</v>
      </c>
      <c r="S33" s="396"/>
      <c r="T33" s="396"/>
      <c r="U33" s="396"/>
      <c r="V33" s="396"/>
      <c r="W33" s="396">
        <v>157</v>
      </c>
      <c r="X33" s="396"/>
      <c r="Y33" s="396"/>
      <c r="Z33" s="396"/>
      <c r="AA33" s="396"/>
      <c r="AB33" s="396">
        <v>87</v>
      </c>
      <c r="AC33" s="396"/>
      <c r="AD33" s="396"/>
      <c r="AE33" s="396"/>
      <c r="AF33" s="396"/>
      <c r="AG33" s="396">
        <v>620</v>
      </c>
      <c r="AH33" s="396"/>
      <c r="AI33" s="396"/>
      <c r="AJ33" s="396"/>
      <c r="AK33" s="396"/>
      <c r="AL33" s="821" t="s">
        <v>662</v>
      </c>
      <c r="AM33" s="821"/>
      <c r="AN33" s="821"/>
      <c r="AO33" s="821"/>
      <c r="AP33" s="821"/>
      <c r="AQ33" s="821" t="s">
        <v>662</v>
      </c>
      <c r="AR33" s="821"/>
      <c r="AS33" s="821"/>
      <c r="AT33" s="821"/>
      <c r="AU33" s="821"/>
      <c r="AV33" s="396">
        <v>5646</v>
      </c>
      <c r="AW33" s="396"/>
      <c r="AX33" s="396"/>
      <c r="AY33" s="396"/>
      <c r="AZ33" s="396"/>
      <c r="BA33" s="396">
        <v>2598</v>
      </c>
      <c r="BB33" s="396"/>
      <c r="BC33" s="396"/>
      <c r="BD33" s="396"/>
      <c r="BE33" s="396"/>
      <c r="BF33" s="396">
        <v>3048</v>
      </c>
      <c r="BG33" s="396"/>
      <c r="BH33" s="396"/>
      <c r="BI33" s="396"/>
      <c r="BJ33" s="396"/>
    </row>
    <row r="34" spans="2:62">
      <c r="M34" s="2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2"/>
      <c r="BF34" s="342"/>
      <c r="BG34" s="342"/>
      <c r="BH34" s="342"/>
      <c r="BI34" s="342"/>
      <c r="BJ34" s="342"/>
    </row>
    <row r="35" spans="2:62">
      <c r="C35" s="807" t="s">
        <v>664</v>
      </c>
      <c r="D35" s="768"/>
      <c r="E35" s="768"/>
      <c r="F35" s="768"/>
      <c r="G35" s="768"/>
      <c r="H35" s="768"/>
      <c r="I35" s="298"/>
      <c r="J35" s="807" t="s">
        <v>18</v>
      </c>
      <c r="K35" s="807"/>
      <c r="L35" s="807"/>
      <c r="M35" s="341"/>
      <c r="N35" s="396">
        <v>47</v>
      </c>
      <c r="O35" s="827"/>
      <c r="P35" s="827"/>
      <c r="Q35" s="827"/>
      <c r="R35" s="396">
        <v>579</v>
      </c>
      <c r="S35" s="396"/>
      <c r="T35" s="396"/>
      <c r="U35" s="396"/>
      <c r="V35" s="396"/>
      <c r="W35" s="396">
        <v>36</v>
      </c>
      <c r="X35" s="396"/>
      <c r="Y35" s="396"/>
      <c r="Z35" s="396"/>
      <c r="AA35" s="396"/>
      <c r="AB35" s="396">
        <v>543</v>
      </c>
      <c r="AC35" s="396"/>
      <c r="AD35" s="396"/>
      <c r="AE35" s="396"/>
      <c r="AF35" s="396"/>
      <c r="AG35" s="396">
        <v>55</v>
      </c>
      <c r="AH35" s="396"/>
      <c r="AI35" s="396"/>
      <c r="AJ35" s="396"/>
      <c r="AK35" s="396"/>
      <c r="AL35" s="396">
        <v>22</v>
      </c>
      <c r="AM35" s="396"/>
      <c r="AN35" s="396"/>
      <c r="AO35" s="396"/>
      <c r="AP35" s="396"/>
      <c r="AQ35" s="396">
        <v>33</v>
      </c>
      <c r="AR35" s="396"/>
      <c r="AS35" s="396"/>
      <c r="AT35" s="396"/>
      <c r="AU35" s="396"/>
      <c r="AV35" s="396">
        <v>10839</v>
      </c>
      <c r="AW35" s="396"/>
      <c r="AX35" s="396"/>
      <c r="AY35" s="396"/>
      <c r="AZ35" s="396"/>
      <c r="BA35" s="396">
        <v>5479</v>
      </c>
      <c r="BB35" s="396"/>
      <c r="BC35" s="396"/>
      <c r="BD35" s="396"/>
      <c r="BE35" s="396"/>
      <c r="BF35" s="396">
        <v>5360</v>
      </c>
      <c r="BG35" s="396"/>
      <c r="BH35" s="396"/>
      <c r="BI35" s="396"/>
      <c r="BJ35" s="396"/>
    </row>
    <row r="36" spans="2:62">
      <c r="J36" s="389" t="s">
        <v>645</v>
      </c>
      <c r="K36" s="389"/>
      <c r="L36" s="389"/>
      <c r="M36" s="343"/>
      <c r="N36" s="391">
        <v>5</v>
      </c>
      <c r="O36" s="391"/>
      <c r="P36" s="391"/>
      <c r="Q36" s="391"/>
      <c r="R36" s="391">
        <v>33</v>
      </c>
      <c r="S36" s="391"/>
      <c r="T36" s="391"/>
      <c r="U36" s="391"/>
      <c r="V36" s="391"/>
      <c r="W36" s="391">
        <v>0</v>
      </c>
      <c r="X36" s="391"/>
      <c r="Y36" s="391"/>
      <c r="Z36" s="391"/>
      <c r="AA36" s="391"/>
      <c r="AB36" s="391">
        <v>33</v>
      </c>
      <c r="AC36" s="391"/>
      <c r="AD36" s="391"/>
      <c r="AE36" s="391"/>
      <c r="AF36" s="391"/>
      <c r="AG36" s="391">
        <v>1</v>
      </c>
      <c r="AH36" s="391"/>
      <c r="AI36" s="391"/>
      <c r="AJ36" s="391"/>
      <c r="AK36" s="391"/>
      <c r="AL36" s="391">
        <v>0</v>
      </c>
      <c r="AM36" s="391"/>
      <c r="AN36" s="391"/>
      <c r="AO36" s="391"/>
      <c r="AP36" s="391"/>
      <c r="AQ36" s="391">
        <v>1</v>
      </c>
      <c r="AR36" s="391"/>
      <c r="AS36" s="391"/>
      <c r="AT36" s="391"/>
      <c r="AU36" s="391"/>
      <c r="AV36" s="391">
        <v>444</v>
      </c>
      <c r="AW36" s="391"/>
      <c r="AX36" s="391"/>
      <c r="AY36" s="391"/>
      <c r="AZ36" s="391"/>
      <c r="BA36" s="391">
        <v>245</v>
      </c>
      <c r="BB36" s="391"/>
      <c r="BC36" s="391"/>
      <c r="BD36" s="391"/>
      <c r="BE36" s="391"/>
      <c r="BF36" s="391">
        <v>199</v>
      </c>
      <c r="BG36" s="391"/>
      <c r="BH36" s="391"/>
      <c r="BI36" s="391"/>
      <c r="BJ36" s="391"/>
    </row>
    <row r="37" spans="2:62">
      <c r="J37" s="389" t="s">
        <v>626</v>
      </c>
      <c r="K37" s="389"/>
      <c r="L37" s="389"/>
      <c r="M37" s="343"/>
      <c r="N37" s="391">
        <v>42</v>
      </c>
      <c r="O37" s="391"/>
      <c r="P37" s="391"/>
      <c r="Q37" s="391"/>
      <c r="R37" s="391">
        <v>546</v>
      </c>
      <c r="S37" s="391"/>
      <c r="T37" s="391"/>
      <c r="U37" s="391"/>
      <c r="V37" s="391"/>
      <c r="W37" s="391">
        <v>36</v>
      </c>
      <c r="X37" s="391"/>
      <c r="Y37" s="391"/>
      <c r="Z37" s="391"/>
      <c r="AA37" s="391"/>
      <c r="AB37" s="391">
        <v>510</v>
      </c>
      <c r="AC37" s="391"/>
      <c r="AD37" s="391"/>
      <c r="AE37" s="391"/>
      <c r="AF37" s="391"/>
      <c r="AG37" s="391">
        <v>54</v>
      </c>
      <c r="AH37" s="391"/>
      <c r="AI37" s="391"/>
      <c r="AJ37" s="391"/>
      <c r="AK37" s="391"/>
      <c r="AL37" s="391">
        <v>22</v>
      </c>
      <c r="AM37" s="391"/>
      <c r="AN37" s="391"/>
      <c r="AO37" s="391"/>
      <c r="AP37" s="391"/>
      <c r="AQ37" s="391">
        <v>32</v>
      </c>
      <c r="AR37" s="391"/>
      <c r="AS37" s="391"/>
      <c r="AT37" s="391"/>
      <c r="AU37" s="391"/>
      <c r="AV37" s="391">
        <v>10395</v>
      </c>
      <c r="AW37" s="391"/>
      <c r="AX37" s="391"/>
      <c r="AY37" s="391"/>
      <c r="AZ37" s="391"/>
      <c r="BA37" s="391">
        <v>5234</v>
      </c>
      <c r="BB37" s="391"/>
      <c r="BC37" s="391"/>
      <c r="BD37" s="391"/>
      <c r="BE37" s="391"/>
      <c r="BF37" s="391">
        <v>5161</v>
      </c>
      <c r="BG37" s="391"/>
      <c r="BH37" s="391"/>
      <c r="BI37" s="391"/>
      <c r="BJ37" s="391"/>
    </row>
    <row r="38" spans="2:62">
      <c r="M38" s="2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2"/>
      <c r="BD38" s="342"/>
      <c r="BE38" s="342"/>
      <c r="BF38" s="342"/>
      <c r="BG38" s="342"/>
      <c r="BH38" s="342"/>
      <c r="BI38" s="342"/>
      <c r="BJ38" s="342"/>
    </row>
    <row r="39" spans="2:62">
      <c r="C39" s="807" t="s">
        <v>663</v>
      </c>
      <c r="D39" s="768"/>
      <c r="E39" s="768"/>
      <c r="F39" s="768"/>
      <c r="G39" s="768"/>
      <c r="H39" s="768"/>
      <c r="I39" s="298"/>
      <c r="J39" s="807" t="s">
        <v>626</v>
      </c>
      <c r="K39" s="807"/>
      <c r="L39" s="807"/>
      <c r="M39" s="341"/>
      <c r="N39" s="396">
        <v>3</v>
      </c>
      <c r="O39" s="827"/>
      <c r="P39" s="827"/>
      <c r="Q39" s="827"/>
      <c r="R39" s="396">
        <v>30</v>
      </c>
      <c r="S39" s="396"/>
      <c r="T39" s="396"/>
      <c r="U39" s="396"/>
      <c r="V39" s="396"/>
      <c r="W39" s="396">
        <v>29</v>
      </c>
      <c r="X39" s="396"/>
      <c r="Y39" s="396"/>
      <c r="Z39" s="396"/>
      <c r="AA39" s="396"/>
      <c r="AB39" s="396">
        <v>1</v>
      </c>
      <c r="AC39" s="396"/>
      <c r="AD39" s="396"/>
      <c r="AE39" s="396"/>
      <c r="AF39" s="396"/>
      <c r="AG39" s="396">
        <v>72</v>
      </c>
      <c r="AH39" s="396"/>
      <c r="AI39" s="396"/>
      <c r="AJ39" s="396"/>
      <c r="AK39" s="396"/>
      <c r="AL39" s="821" t="s">
        <v>662</v>
      </c>
      <c r="AM39" s="821"/>
      <c r="AN39" s="821"/>
      <c r="AO39" s="821"/>
      <c r="AP39" s="821"/>
      <c r="AQ39" s="821" t="s">
        <v>662</v>
      </c>
      <c r="AR39" s="821"/>
      <c r="AS39" s="821"/>
      <c r="AT39" s="821"/>
      <c r="AU39" s="821"/>
      <c r="AV39" s="396">
        <v>699</v>
      </c>
      <c r="AW39" s="396"/>
      <c r="AX39" s="396"/>
      <c r="AY39" s="396"/>
      <c r="AZ39" s="396"/>
      <c r="BA39" s="396">
        <v>524</v>
      </c>
      <c r="BB39" s="396"/>
      <c r="BC39" s="396"/>
      <c r="BD39" s="396"/>
      <c r="BE39" s="396"/>
      <c r="BF39" s="396">
        <v>175</v>
      </c>
      <c r="BG39" s="396"/>
      <c r="BH39" s="396"/>
      <c r="BI39" s="396"/>
      <c r="BJ39" s="396"/>
    </row>
    <row r="40" spans="2:62">
      <c r="M40" s="2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/>
      <c r="BD40" s="342"/>
      <c r="BE40" s="342"/>
      <c r="BF40" s="342"/>
      <c r="BG40" s="342"/>
      <c r="BH40" s="342"/>
      <c r="BI40" s="342"/>
      <c r="BJ40" s="342"/>
    </row>
    <row r="41" spans="2:62">
      <c r="C41" s="807" t="s">
        <v>661</v>
      </c>
      <c r="D41" s="768"/>
      <c r="E41" s="768"/>
      <c r="F41" s="768"/>
      <c r="G41" s="768"/>
      <c r="H41" s="768"/>
      <c r="I41" s="298"/>
      <c r="J41" s="807" t="s">
        <v>626</v>
      </c>
      <c r="K41" s="807"/>
      <c r="L41" s="807"/>
      <c r="M41" s="341"/>
      <c r="N41" s="396">
        <v>2</v>
      </c>
      <c r="O41" s="827"/>
      <c r="P41" s="827"/>
      <c r="Q41" s="827"/>
      <c r="R41" s="396">
        <v>7</v>
      </c>
      <c r="S41" s="396"/>
      <c r="T41" s="396"/>
      <c r="U41" s="396"/>
      <c r="V41" s="396"/>
      <c r="W41" s="396">
        <v>4</v>
      </c>
      <c r="X41" s="396"/>
      <c r="Y41" s="396"/>
      <c r="Z41" s="396"/>
      <c r="AA41" s="396"/>
      <c r="AB41" s="396">
        <v>3</v>
      </c>
      <c r="AC41" s="396"/>
      <c r="AD41" s="396"/>
      <c r="AE41" s="396"/>
      <c r="AF41" s="396"/>
      <c r="AG41" s="396">
        <v>12</v>
      </c>
      <c r="AH41" s="396"/>
      <c r="AI41" s="396"/>
      <c r="AJ41" s="396"/>
      <c r="AK41" s="396"/>
      <c r="AL41" s="821" t="s">
        <v>635</v>
      </c>
      <c r="AM41" s="821"/>
      <c r="AN41" s="821"/>
      <c r="AO41" s="821"/>
      <c r="AP41" s="821"/>
      <c r="AQ41" s="821" t="s">
        <v>635</v>
      </c>
      <c r="AR41" s="821"/>
      <c r="AS41" s="821"/>
      <c r="AT41" s="821"/>
      <c r="AU41" s="821"/>
      <c r="AV41" s="396">
        <v>68</v>
      </c>
      <c r="AW41" s="396"/>
      <c r="AX41" s="396"/>
      <c r="AY41" s="396"/>
      <c r="AZ41" s="396"/>
      <c r="BA41" s="396">
        <v>33</v>
      </c>
      <c r="BB41" s="396"/>
      <c r="BC41" s="396"/>
      <c r="BD41" s="396"/>
      <c r="BE41" s="396"/>
      <c r="BF41" s="396">
        <v>35</v>
      </c>
      <c r="BG41" s="396"/>
      <c r="BH41" s="396"/>
      <c r="BI41" s="396"/>
      <c r="BJ41" s="396"/>
    </row>
    <row r="42" spans="2:6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2:62">
      <c r="C43" s="400" t="s">
        <v>8</v>
      </c>
      <c r="D43" s="400"/>
      <c r="E43" s="297" t="s">
        <v>660</v>
      </c>
      <c r="F43" s="377">
        <v>-1</v>
      </c>
      <c r="G43" s="377"/>
      <c r="H43" s="4" t="s">
        <v>659</v>
      </c>
    </row>
    <row r="44" spans="2:62">
      <c r="F44" s="378">
        <v>-2</v>
      </c>
      <c r="G44" s="378"/>
      <c r="H44" s="5" t="s">
        <v>658</v>
      </c>
    </row>
    <row r="45" spans="2:62">
      <c r="F45" s="378">
        <v>-3</v>
      </c>
      <c r="G45" s="378"/>
      <c r="H45" s="5" t="s">
        <v>657</v>
      </c>
    </row>
    <row r="46" spans="2:62">
      <c r="B46" s="404" t="s">
        <v>9</v>
      </c>
      <c r="C46" s="404"/>
      <c r="D46" s="404"/>
      <c r="E46" s="297" t="s">
        <v>470</v>
      </c>
      <c r="F46" s="2" t="s">
        <v>656</v>
      </c>
    </row>
    <row r="48" spans="2:62" ht="18" customHeight="1">
      <c r="B48" s="379" t="s">
        <v>655</v>
      </c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79"/>
      <c r="AP48" s="379"/>
      <c r="AQ48" s="379"/>
      <c r="AR48" s="379"/>
      <c r="AS48" s="379"/>
      <c r="AT48" s="379"/>
      <c r="AU48" s="379"/>
      <c r="AV48" s="379"/>
      <c r="AW48" s="379"/>
      <c r="AX48" s="379"/>
      <c r="AY48" s="379"/>
      <c r="AZ48" s="379"/>
      <c r="BA48" s="379"/>
      <c r="BB48" s="379"/>
      <c r="BC48" s="379"/>
      <c r="BD48" s="379"/>
      <c r="BE48" s="379"/>
      <c r="BF48" s="379"/>
      <c r="BG48" s="379"/>
      <c r="BH48" s="379"/>
      <c r="BI48" s="379"/>
      <c r="BJ48" s="379"/>
    </row>
    <row r="49" spans="2:62" ht="12.95" customHeight="1">
      <c r="BJ49" s="20" t="s">
        <v>654</v>
      </c>
    </row>
    <row r="50" spans="2:62" ht="15" customHeight="1">
      <c r="B50" s="411" t="s">
        <v>424</v>
      </c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 t="s">
        <v>653</v>
      </c>
      <c r="O50" s="386"/>
      <c r="P50" s="386"/>
      <c r="Q50" s="386"/>
      <c r="R50" s="386"/>
      <c r="S50" s="386"/>
      <c r="T50" s="386"/>
      <c r="U50" s="386"/>
      <c r="V50" s="386" t="s">
        <v>652</v>
      </c>
      <c r="W50" s="386"/>
      <c r="X50" s="386"/>
      <c r="Y50" s="386"/>
      <c r="Z50" s="386" t="s">
        <v>651</v>
      </c>
      <c r="AA50" s="386"/>
      <c r="AB50" s="386"/>
      <c r="AC50" s="386"/>
      <c r="AD50" s="386" t="s">
        <v>650</v>
      </c>
      <c r="AE50" s="386"/>
      <c r="AF50" s="386"/>
      <c r="AG50" s="386"/>
      <c r="AH50" s="386"/>
      <c r="AI50" s="386"/>
      <c r="AJ50" s="386"/>
      <c r="AK50" s="386"/>
      <c r="AL50" s="386"/>
      <c r="AM50" s="386"/>
      <c r="AN50" s="386"/>
      <c r="AO50" s="386"/>
      <c r="AP50" s="386"/>
      <c r="AQ50" s="386"/>
      <c r="AR50" s="386"/>
      <c r="AS50" s="386" t="s">
        <v>649</v>
      </c>
      <c r="AT50" s="386"/>
      <c r="AU50" s="386"/>
      <c r="AV50" s="386"/>
      <c r="AW50" s="386" t="s">
        <v>648</v>
      </c>
      <c r="AX50" s="386"/>
      <c r="AY50" s="386"/>
      <c r="AZ50" s="386"/>
      <c r="BA50" s="386" t="s">
        <v>647</v>
      </c>
      <c r="BB50" s="386"/>
      <c r="BC50" s="386"/>
      <c r="BD50" s="386"/>
      <c r="BE50" s="413" t="s">
        <v>646</v>
      </c>
      <c r="BF50" s="386"/>
      <c r="BG50" s="386"/>
      <c r="BH50" s="386"/>
      <c r="BI50" s="386"/>
      <c r="BJ50" s="387"/>
    </row>
    <row r="51" spans="2:62" ht="15" customHeight="1">
      <c r="B51" s="412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 t="s">
        <v>645</v>
      </c>
      <c r="O51" s="385"/>
      <c r="P51" s="385"/>
      <c r="Q51" s="385"/>
      <c r="R51" s="385" t="s">
        <v>626</v>
      </c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470" t="s">
        <v>238</v>
      </c>
      <c r="AE51" s="470"/>
      <c r="AF51" s="470"/>
      <c r="AG51" s="470"/>
      <c r="AH51" s="470"/>
      <c r="AI51" s="470" t="s">
        <v>644</v>
      </c>
      <c r="AJ51" s="470"/>
      <c r="AK51" s="470"/>
      <c r="AL51" s="470"/>
      <c r="AM51" s="470"/>
      <c r="AN51" s="470" t="s">
        <v>643</v>
      </c>
      <c r="AO51" s="470"/>
      <c r="AP51" s="470"/>
      <c r="AQ51" s="470"/>
      <c r="AR51" s="470"/>
      <c r="AS51" s="385"/>
      <c r="AT51" s="385"/>
      <c r="AU51" s="385"/>
      <c r="AV51" s="385"/>
      <c r="AW51" s="385"/>
      <c r="AX51" s="385"/>
      <c r="AY51" s="385"/>
      <c r="AZ51" s="385"/>
      <c r="BA51" s="385"/>
      <c r="BB51" s="385"/>
      <c r="BC51" s="385"/>
      <c r="BD51" s="385"/>
      <c r="BE51" s="385"/>
      <c r="BF51" s="385"/>
      <c r="BG51" s="385"/>
      <c r="BH51" s="385"/>
      <c r="BI51" s="385"/>
      <c r="BJ51" s="388"/>
    </row>
    <row r="52" spans="2:62" ht="15" customHeight="1">
      <c r="B52" s="412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470"/>
      <c r="AE52" s="470"/>
      <c r="AF52" s="470"/>
      <c r="AG52" s="470"/>
      <c r="AH52" s="470"/>
      <c r="AI52" s="470"/>
      <c r="AJ52" s="470"/>
      <c r="AK52" s="470"/>
      <c r="AL52" s="470"/>
      <c r="AM52" s="470"/>
      <c r="AN52" s="470"/>
      <c r="AO52" s="470"/>
      <c r="AP52" s="470"/>
      <c r="AQ52" s="470"/>
      <c r="AR52" s="470"/>
      <c r="AS52" s="385"/>
      <c r="AT52" s="385"/>
      <c r="AU52" s="385"/>
      <c r="AV52" s="385"/>
      <c r="AW52" s="385"/>
      <c r="AX52" s="385"/>
      <c r="AY52" s="385"/>
      <c r="AZ52" s="385"/>
      <c r="BA52" s="385"/>
      <c r="BB52" s="385"/>
      <c r="BC52" s="385"/>
      <c r="BD52" s="385"/>
      <c r="BE52" s="385"/>
      <c r="BF52" s="385"/>
      <c r="BG52" s="385"/>
      <c r="BH52" s="385"/>
      <c r="BI52" s="385"/>
      <c r="BJ52" s="388"/>
    </row>
    <row r="53" spans="2:62">
      <c r="M53" s="21"/>
    </row>
    <row r="54" spans="2:62">
      <c r="C54" s="389" t="s">
        <v>7</v>
      </c>
      <c r="D54" s="768"/>
      <c r="E54" s="768"/>
      <c r="F54" s="768"/>
      <c r="G54" s="380">
        <v>15</v>
      </c>
      <c r="H54" s="380"/>
      <c r="I54" s="389" t="s">
        <v>424</v>
      </c>
      <c r="J54" s="768"/>
      <c r="K54" s="768"/>
      <c r="L54" s="768"/>
      <c r="M54" s="22"/>
      <c r="N54" s="823">
        <v>5</v>
      </c>
      <c r="O54" s="823"/>
      <c r="P54" s="823"/>
      <c r="Q54" s="823"/>
      <c r="R54" s="823">
        <v>42</v>
      </c>
      <c r="S54" s="823"/>
      <c r="T54" s="823"/>
      <c r="U54" s="823"/>
      <c r="V54" s="823">
        <v>408</v>
      </c>
      <c r="W54" s="823"/>
      <c r="X54" s="823"/>
      <c r="Y54" s="823"/>
      <c r="Z54" s="823">
        <v>604</v>
      </c>
      <c r="AA54" s="823"/>
      <c r="AB54" s="823"/>
      <c r="AC54" s="823"/>
      <c r="AD54" s="823">
        <v>11698</v>
      </c>
      <c r="AE54" s="823"/>
      <c r="AF54" s="823"/>
      <c r="AG54" s="823"/>
      <c r="AH54" s="823"/>
      <c r="AI54" s="823">
        <v>6016</v>
      </c>
      <c r="AJ54" s="823"/>
      <c r="AK54" s="823"/>
      <c r="AL54" s="823"/>
      <c r="AM54" s="823"/>
      <c r="AN54" s="823">
        <v>5682</v>
      </c>
      <c r="AO54" s="823"/>
      <c r="AP54" s="823"/>
      <c r="AQ54" s="823"/>
      <c r="AR54" s="823"/>
      <c r="AS54" s="823">
        <v>3399</v>
      </c>
      <c r="AT54" s="823"/>
      <c r="AU54" s="823"/>
      <c r="AV54" s="823"/>
      <c r="AW54" s="823">
        <v>4116</v>
      </c>
      <c r="AX54" s="823"/>
      <c r="AY54" s="823"/>
      <c r="AZ54" s="823"/>
      <c r="BA54" s="823">
        <v>4183</v>
      </c>
      <c r="BB54" s="823"/>
      <c r="BC54" s="823"/>
      <c r="BD54" s="823"/>
      <c r="BE54" s="824">
        <v>19.399999999999999</v>
      </c>
      <c r="BF54" s="824"/>
      <c r="BG54" s="824"/>
      <c r="BH54" s="824"/>
      <c r="BI54" s="824"/>
      <c r="BJ54" s="824"/>
    </row>
    <row r="55" spans="2:62">
      <c r="G55" s="380">
        <v>16</v>
      </c>
      <c r="H55" s="380"/>
      <c r="M55" s="22"/>
      <c r="N55" s="823">
        <v>5</v>
      </c>
      <c r="O55" s="823"/>
      <c r="P55" s="823"/>
      <c r="Q55" s="823"/>
      <c r="R55" s="823">
        <v>42</v>
      </c>
      <c r="S55" s="823"/>
      <c r="T55" s="823"/>
      <c r="U55" s="823"/>
      <c r="V55" s="823">
        <v>405</v>
      </c>
      <c r="W55" s="823"/>
      <c r="X55" s="823"/>
      <c r="Y55" s="823"/>
      <c r="Z55" s="823">
        <v>606</v>
      </c>
      <c r="AA55" s="823"/>
      <c r="AB55" s="823"/>
      <c r="AC55" s="823"/>
      <c r="AD55" s="823">
        <v>11594</v>
      </c>
      <c r="AE55" s="823"/>
      <c r="AF55" s="823"/>
      <c r="AG55" s="823"/>
      <c r="AH55" s="823"/>
      <c r="AI55" s="823">
        <v>5908</v>
      </c>
      <c r="AJ55" s="823"/>
      <c r="AK55" s="823"/>
      <c r="AL55" s="823"/>
      <c r="AM55" s="823"/>
      <c r="AN55" s="823">
        <v>5686</v>
      </c>
      <c r="AO55" s="823"/>
      <c r="AP55" s="823"/>
      <c r="AQ55" s="823"/>
      <c r="AR55" s="823"/>
      <c r="AS55" s="823">
        <v>3367</v>
      </c>
      <c r="AT55" s="823"/>
      <c r="AU55" s="823"/>
      <c r="AV55" s="823"/>
      <c r="AW55" s="823">
        <v>4070</v>
      </c>
      <c r="AX55" s="823"/>
      <c r="AY55" s="823"/>
      <c r="AZ55" s="823"/>
      <c r="BA55" s="823">
        <v>4157</v>
      </c>
      <c r="BB55" s="823"/>
      <c r="BC55" s="823"/>
      <c r="BD55" s="823"/>
      <c r="BE55" s="824">
        <v>19.100000000000001</v>
      </c>
      <c r="BF55" s="824"/>
      <c r="BG55" s="824"/>
      <c r="BH55" s="824"/>
      <c r="BI55" s="824"/>
      <c r="BJ55" s="824"/>
    </row>
    <row r="56" spans="2:62">
      <c r="G56" s="380">
        <v>17</v>
      </c>
      <c r="H56" s="380"/>
      <c r="M56" s="22"/>
      <c r="N56" s="823">
        <v>5</v>
      </c>
      <c r="O56" s="823"/>
      <c r="P56" s="823"/>
      <c r="Q56" s="823"/>
      <c r="R56" s="823">
        <v>42</v>
      </c>
      <c r="S56" s="823"/>
      <c r="T56" s="823"/>
      <c r="U56" s="823"/>
      <c r="V56" s="823">
        <v>401</v>
      </c>
      <c r="W56" s="823"/>
      <c r="X56" s="823"/>
      <c r="Y56" s="823"/>
      <c r="Z56" s="823">
        <v>615</v>
      </c>
      <c r="AA56" s="823"/>
      <c r="AB56" s="823"/>
      <c r="AC56" s="823"/>
      <c r="AD56" s="823">
        <v>11547</v>
      </c>
      <c r="AE56" s="823"/>
      <c r="AF56" s="823"/>
      <c r="AG56" s="823"/>
      <c r="AH56" s="823"/>
      <c r="AI56" s="823">
        <v>5908</v>
      </c>
      <c r="AJ56" s="823"/>
      <c r="AK56" s="823"/>
      <c r="AL56" s="823"/>
      <c r="AM56" s="823"/>
      <c r="AN56" s="823">
        <v>5639</v>
      </c>
      <c r="AO56" s="823"/>
      <c r="AP56" s="823"/>
      <c r="AQ56" s="823"/>
      <c r="AR56" s="823"/>
      <c r="AS56" s="823">
        <v>3425</v>
      </c>
      <c r="AT56" s="823"/>
      <c r="AU56" s="823"/>
      <c r="AV56" s="823"/>
      <c r="AW56" s="823">
        <v>4066</v>
      </c>
      <c r="AX56" s="823"/>
      <c r="AY56" s="823"/>
      <c r="AZ56" s="823"/>
      <c r="BA56" s="823">
        <v>4056</v>
      </c>
      <c r="BB56" s="823"/>
      <c r="BC56" s="823"/>
      <c r="BD56" s="823"/>
      <c r="BE56" s="824">
        <v>18.8</v>
      </c>
      <c r="BF56" s="824"/>
      <c r="BG56" s="824"/>
      <c r="BH56" s="824"/>
      <c r="BI56" s="824"/>
      <c r="BJ56" s="824"/>
    </row>
    <row r="57" spans="2:62">
      <c r="G57" s="380">
        <v>18</v>
      </c>
      <c r="H57" s="380"/>
      <c r="M57" s="22"/>
      <c r="N57" s="823">
        <v>5</v>
      </c>
      <c r="O57" s="823"/>
      <c r="P57" s="823"/>
      <c r="Q57" s="823"/>
      <c r="R57" s="823">
        <v>42</v>
      </c>
      <c r="S57" s="823"/>
      <c r="T57" s="823"/>
      <c r="U57" s="823"/>
      <c r="V57" s="823">
        <v>398</v>
      </c>
      <c r="W57" s="823"/>
      <c r="X57" s="823"/>
      <c r="Y57" s="823"/>
      <c r="Z57" s="823">
        <v>602</v>
      </c>
      <c r="AA57" s="823"/>
      <c r="AB57" s="823"/>
      <c r="AC57" s="823"/>
      <c r="AD57" s="823">
        <v>11501</v>
      </c>
      <c r="AE57" s="823"/>
      <c r="AF57" s="823"/>
      <c r="AG57" s="823"/>
      <c r="AH57" s="823"/>
      <c r="AI57" s="823">
        <v>5901</v>
      </c>
      <c r="AJ57" s="823"/>
      <c r="AK57" s="823"/>
      <c r="AL57" s="823"/>
      <c r="AM57" s="823"/>
      <c r="AN57" s="823">
        <v>5600</v>
      </c>
      <c r="AO57" s="823"/>
      <c r="AP57" s="823"/>
      <c r="AQ57" s="823"/>
      <c r="AR57" s="823"/>
      <c r="AS57" s="823">
        <v>3345</v>
      </c>
      <c r="AT57" s="823"/>
      <c r="AU57" s="823"/>
      <c r="AV57" s="823"/>
      <c r="AW57" s="823">
        <v>4069</v>
      </c>
      <c r="AX57" s="823"/>
      <c r="AY57" s="823"/>
      <c r="AZ57" s="823"/>
      <c r="BA57" s="823">
        <v>4087</v>
      </c>
      <c r="BB57" s="823"/>
      <c r="BC57" s="823"/>
      <c r="BD57" s="823"/>
      <c r="BE57" s="824">
        <v>19.100000000000001</v>
      </c>
      <c r="BF57" s="824"/>
      <c r="BG57" s="824"/>
      <c r="BH57" s="824"/>
      <c r="BI57" s="824"/>
      <c r="BJ57" s="824"/>
    </row>
    <row r="58" spans="2:62">
      <c r="G58" s="380">
        <v>19</v>
      </c>
      <c r="H58" s="380"/>
      <c r="M58" s="22"/>
      <c r="N58" s="823">
        <v>5</v>
      </c>
      <c r="O58" s="823"/>
      <c r="P58" s="823"/>
      <c r="Q58" s="823"/>
      <c r="R58" s="823">
        <v>42</v>
      </c>
      <c r="S58" s="823"/>
      <c r="T58" s="823"/>
      <c r="U58" s="823"/>
      <c r="V58" s="823">
        <v>392</v>
      </c>
      <c r="W58" s="823"/>
      <c r="X58" s="823"/>
      <c r="Y58" s="823"/>
      <c r="Z58" s="823">
        <v>594</v>
      </c>
      <c r="AA58" s="823"/>
      <c r="AB58" s="823"/>
      <c r="AC58" s="823"/>
      <c r="AD58" s="823">
        <v>11244</v>
      </c>
      <c r="AE58" s="823"/>
      <c r="AF58" s="823"/>
      <c r="AG58" s="823"/>
      <c r="AH58" s="823"/>
      <c r="AI58" s="823">
        <v>5843</v>
      </c>
      <c r="AJ58" s="823"/>
      <c r="AK58" s="823"/>
      <c r="AL58" s="823"/>
      <c r="AM58" s="823"/>
      <c r="AN58" s="823">
        <v>5401</v>
      </c>
      <c r="AO58" s="823"/>
      <c r="AP58" s="823"/>
      <c r="AQ58" s="823"/>
      <c r="AR58" s="823"/>
      <c r="AS58" s="823">
        <v>3367</v>
      </c>
      <c r="AT58" s="823"/>
      <c r="AU58" s="823"/>
      <c r="AV58" s="823"/>
      <c r="AW58" s="823">
        <v>3802</v>
      </c>
      <c r="AX58" s="823"/>
      <c r="AY58" s="823"/>
      <c r="AZ58" s="823"/>
      <c r="BA58" s="823">
        <v>4075</v>
      </c>
      <c r="BB58" s="823"/>
      <c r="BC58" s="823"/>
      <c r="BD58" s="823"/>
      <c r="BE58" s="824">
        <v>18.899999999999999</v>
      </c>
      <c r="BF58" s="824"/>
      <c r="BG58" s="824"/>
      <c r="BH58" s="824"/>
      <c r="BI58" s="824"/>
      <c r="BJ58" s="824"/>
    </row>
    <row r="59" spans="2:62">
      <c r="M59" s="22"/>
      <c r="BE59" s="340"/>
      <c r="BF59" s="340"/>
      <c r="BG59" s="340"/>
      <c r="BH59" s="340"/>
      <c r="BI59" s="340"/>
      <c r="BJ59" s="340"/>
    </row>
    <row r="60" spans="2:62">
      <c r="G60" s="380">
        <v>20</v>
      </c>
      <c r="H60" s="380"/>
      <c r="M60" s="22"/>
      <c r="N60" s="823">
        <v>5</v>
      </c>
      <c r="O60" s="823"/>
      <c r="P60" s="823"/>
      <c r="Q60" s="823"/>
      <c r="R60" s="823">
        <v>42</v>
      </c>
      <c r="S60" s="823"/>
      <c r="T60" s="823"/>
      <c r="U60" s="823"/>
      <c r="V60" s="823">
        <v>390</v>
      </c>
      <c r="W60" s="823"/>
      <c r="X60" s="823"/>
      <c r="Y60" s="823"/>
      <c r="Z60" s="823">
        <v>601</v>
      </c>
      <c r="AA60" s="823"/>
      <c r="AB60" s="823"/>
      <c r="AC60" s="823"/>
      <c r="AD60" s="823">
        <v>11079</v>
      </c>
      <c r="AE60" s="823"/>
      <c r="AF60" s="823"/>
      <c r="AG60" s="823"/>
      <c r="AH60" s="823"/>
      <c r="AI60" s="823">
        <v>5762</v>
      </c>
      <c r="AJ60" s="823"/>
      <c r="AK60" s="823"/>
      <c r="AL60" s="823"/>
      <c r="AM60" s="823"/>
      <c r="AN60" s="823">
        <v>5317</v>
      </c>
      <c r="AO60" s="823"/>
      <c r="AP60" s="823"/>
      <c r="AQ60" s="823"/>
      <c r="AR60" s="823"/>
      <c r="AS60" s="823">
        <v>3362</v>
      </c>
      <c r="AT60" s="823"/>
      <c r="AU60" s="823"/>
      <c r="AV60" s="823"/>
      <c r="AW60" s="823">
        <v>3884</v>
      </c>
      <c r="AX60" s="823"/>
      <c r="AY60" s="823"/>
      <c r="AZ60" s="823"/>
      <c r="BA60" s="823">
        <v>3833</v>
      </c>
      <c r="BB60" s="823"/>
      <c r="BC60" s="823"/>
      <c r="BD60" s="823"/>
      <c r="BE60" s="824">
        <v>18.399999999999999</v>
      </c>
      <c r="BF60" s="824"/>
      <c r="BG60" s="824"/>
      <c r="BH60" s="824"/>
      <c r="BI60" s="824"/>
      <c r="BJ60" s="824"/>
    </row>
    <row r="61" spans="2:62">
      <c r="G61" s="380">
        <v>21</v>
      </c>
      <c r="H61" s="380"/>
      <c r="M61" s="22"/>
      <c r="N61" s="823">
        <v>5</v>
      </c>
      <c r="O61" s="823"/>
      <c r="P61" s="823"/>
      <c r="Q61" s="823"/>
      <c r="R61" s="823">
        <v>42</v>
      </c>
      <c r="S61" s="823"/>
      <c r="T61" s="823"/>
      <c r="U61" s="823"/>
      <c r="V61" s="823">
        <v>381</v>
      </c>
      <c r="W61" s="823"/>
      <c r="X61" s="823"/>
      <c r="Y61" s="823"/>
      <c r="Z61" s="823">
        <v>590</v>
      </c>
      <c r="AA61" s="823"/>
      <c r="AB61" s="823"/>
      <c r="AC61" s="823"/>
      <c r="AD61" s="823">
        <v>10754</v>
      </c>
      <c r="AE61" s="823"/>
      <c r="AF61" s="823"/>
      <c r="AG61" s="823"/>
      <c r="AH61" s="823"/>
      <c r="AI61" s="823">
        <v>5584</v>
      </c>
      <c r="AJ61" s="823"/>
      <c r="AK61" s="823"/>
      <c r="AL61" s="823"/>
      <c r="AM61" s="823"/>
      <c r="AN61" s="823">
        <v>5170</v>
      </c>
      <c r="AO61" s="823"/>
      <c r="AP61" s="823"/>
      <c r="AQ61" s="823"/>
      <c r="AR61" s="823"/>
      <c r="AS61" s="823">
        <v>3170</v>
      </c>
      <c r="AT61" s="823"/>
      <c r="AU61" s="823"/>
      <c r="AV61" s="823"/>
      <c r="AW61" s="823">
        <v>3723</v>
      </c>
      <c r="AX61" s="823"/>
      <c r="AY61" s="823"/>
      <c r="AZ61" s="823"/>
      <c r="BA61" s="823">
        <v>3861</v>
      </c>
      <c r="BB61" s="823"/>
      <c r="BC61" s="823"/>
      <c r="BD61" s="823"/>
      <c r="BE61" s="824">
        <v>18.2</v>
      </c>
      <c r="BF61" s="824"/>
      <c r="BG61" s="824"/>
      <c r="BH61" s="824"/>
      <c r="BI61" s="824"/>
      <c r="BJ61" s="824"/>
    </row>
    <row r="62" spans="2:62">
      <c r="G62" s="380">
        <v>22</v>
      </c>
      <c r="H62" s="380"/>
      <c r="M62" s="22"/>
      <c r="N62" s="823">
        <v>5</v>
      </c>
      <c r="O62" s="823"/>
      <c r="P62" s="823"/>
      <c r="Q62" s="823"/>
      <c r="R62" s="823">
        <v>42</v>
      </c>
      <c r="S62" s="823"/>
      <c r="T62" s="823"/>
      <c r="U62" s="823"/>
      <c r="V62" s="823">
        <v>374</v>
      </c>
      <c r="W62" s="823"/>
      <c r="X62" s="823"/>
      <c r="Y62" s="823"/>
      <c r="Z62" s="823">
        <v>586</v>
      </c>
      <c r="AA62" s="823"/>
      <c r="AB62" s="823"/>
      <c r="AC62" s="823"/>
      <c r="AD62" s="823">
        <v>10672</v>
      </c>
      <c r="AE62" s="823"/>
      <c r="AF62" s="823"/>
      <c r="AG62" s="823"/>
      <c r="AH62" s="823"/>
      <c r="AI62" s="823">
        <v>5426</v>
      </c>
      <c r="AJ62" s="823"/>
      <c r="AK62" s="823"/>
      <c r="AL62" s="823"/>
      <c r="AM62" s="823"/>
      <c r="AN62" s="823">
        <v>5246</v>
      </c>
      <c r="AO62" s="823"/>
      <c r="AP62" s="823"/>
      <c r="AQ62" s="823"/>
      <c r="AR62" s="823"/>
      <c r="AS62" s="823">
        <v>3411</v>
      </c>
      <c r="AT62" s="823"/>
      <c r="AU62" s="823"/>
      <c r="AV62" s="823"/>
      <c r="AW62" s="823">
        <v>3543</v>
      </c>
      <c r="AX62" s="823"/>
      <c r="AY62" s="823"/>
      <c r="AZ62" s="823"/>
      <c r="BA62" s="823">
        <v>3718</v>
      </c>
      <c r="BB62" s="823"/>
      <c r="BC62" s="823"/>
      <c r="BD62" s="823"/>
      <c r="BE62" s="824">
        <v>18.2</v>
      </c>
      <c r="BF62" s="824"/>
      <c r="BG62" s="824"/>
      <c r="BH62" s="824"/>
      <c r="BI62" s="824"/>
      <c r="BJ62" s="824"/>
    </row>
    <row r="63" spans="2:62">
      <c r="G63" s="380">
        <v>23</v>
      </c>
      <c r="H63" s="380"/>
      <c r="M63" s="22"/>
      <c r="N63" s="823">
        <v>5</v>
      </c>
      <c r="O63" s="823"/>
      <c r="P63" s="823"/>
      <c r="Q63" s="823"/>
      <c r="R63" s="823">
        <v>42</v>
      </c>
      <c r="S63" s="823"/>
      <c r="T63" s="823"/>
      <c r="U63" s="823"/>
      <c r="V63" s="823">
        <v>372</v>
      </c>
      <c r="W63" s="823"/>
      <c r="X63" s="823"/>
      <c r="Y63" s="823"/>
      <c r="Z63" s="823">
        <v>576</v>
      </c>
      <c r="AA63" s="823"/>
      <c r="AB63" s="823"/>
      <c r="AC63" s="823"/>
      <c r="AD63" s="823">
        <v>10645</v>
      </c>
      <c r="AE63" s="823"/>
      <c r="AF63" s="823"/>
      <c r="AG63" s="823"/>
      <c r="AH63" s="823"/>
      <c r="AI63" s="823">
        <v>5434</v>
      </c>
      <c r="AJ63" s="823"/>
      <c r="AK63" s="823"/>
      <c r="AL63" s="823"/>
      <c r="AM63" s="823"/>
      <c r="AN63" s="823">
        <v>5211</v>
      </c>
      <c r="AO63" s="823"/>
      <c r="AP63" s="823"/>
      <c r="AQ63" s="823"/>
      <c r="AR63" s="823"/>
      <c r="AS63" s="823">
        <v>3426</v>
      </c>
      <c r="AT63" s="823"/>
      <c r="AU63" s="823"/>
      <c r="AV63" s="823"/>
      <c r="AW63" s="823">
        <v>3713</v>
      </c>
      <c r="AX63" s="823"/>
      <c r="AY63" s="823"/>
      <c r="AZ63" s="823"/>
      <c r="BA63" s="823">
        <v>3506</v>
      </c>
      <c r="BB63" s="823"/>
      <c r="BC63" s="823"/>
      <c r="BD63" s="823"/>
      <c r="BE63" s="824">
        <v>18.5</v>
      </c>
      <c r="BF63" s="824"/>
      <c r="BG63" s="824"/>
      <c r="BH63" s="824"/>
      <c r="BI63" s="824"/>
      <c r="BJ63" s="824"/>
    </row>
    <row r="64" spans="2:62">
      <c r="G64" s="392">
        <v>24</v>
      </c>
      <c r="H64" s="392"/>
      <c r="M64" s="22"/>
      <c r="N64" s="825">
        <v>5</v>
      </c>
      <c r="O64" s="825"/>
      <c r="P64" s="825"/>
      <c r="Q64" s="825"/>
      <c r="R64" s="825">
        <v>42</v>
      </c>
      <c r="S64" s="825"/>
      <c r="T64" s="825"/>
      <c r="U64" s="825"/>
      <c r="V64" s="825">
        <v>377</v>
      </c>
      <c r="W64" s="825"/>
      <c r="X64" s="825"/>
      <c r="Y64" s="825"/>
      <c r="Z64" s="825">
        <v>579</v>
      </c>
      <c r="AA64" s="825"/>
      <c r="AB64" s="825"/>
      <c r="AC64" s="825"/>
      <c r="AD64" s="825">
        <v>10839</v>
      </c>
      <c r="AE64" s="825"/>
      <c r="AF64" s="825"/>
      <c r="AG64" s="825"/>
      <c r="AH64" s="825"/>
      <c r="AI64" s="825">
        <v>5479</v>
      </c>
      <c r="AJ64" s="825"/>
      <c r="AK64" s="825"/>
      <c r="AL64" s="825"/>
      <c r="AM64" s="825"/>
      <c r="AN64" s="825">
        <v>5360</v>
      </c>
      <c r="AO64" s="825"/>
      <c r="AP64" s="825"/>
      <c r="AQ64" s="825"/>
      <c r="AR64" s="825"/>
      <c r="AS64" s="825">
        <v>3410</v>
      </c>
      <c r="AT64" s="825"/>
      <c r="AU64" s="825"/>
      <c r="AV64" s="825"/>
      <c r="AW64" s="825">
        <v>3701</v>
      </c>
      <c r="AX64" s="825"/>
      <c r="AY64" s="825"/>
      <c r="AZ64" s="825"/>
      <c r="BA64" s="825">
        <v>3728</v>
      </c>
      <c r="BB64" s="825"/>
      <c r="BC64" s="825"/>
      <c r="BD64" s="825"/>
      <c r="BE64" s="826">
        <f>AD64/Z64</f>
        <v>18.720207253886009</v>
      </c>
      <c r="BF64" s="826"/>
      <c r="BG64" s="826"/>
      <c r="BH64" s="826"/>
      <c r="BI64" s="826"/>
      <c r="BJ64" s="826"/>
    </row>
    <row r="65" spans="2:6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2:62">
      <c r="C66" s="400" t="s">
        <v>8</v>
      </c>
      <c r="D66" s="400"/>
      <c r="E66" s="297" t="s">
        <v>10</v>
      </c>
      <c r="F66" s="2" t="s">
        <v>642</v>
      </c>
    </row>
    <row r="67" spans="2:62">
      <c r="B67" s="404" t="s">
        <v>9</v>
      </c>
      <c r="C67" s="404"/>
      <c r="D67" s="404"/>
      <c r="E67" s="297" t="s">
        <v>10</v>
      </c>
      <c r="F67" s="2" t="s">
        <v>641</v>
      </c>
    </row>
  </sheetData>
  <mergeCells count="413">
    <mergeCell ref="R12:V12"/>
    <mergeCell ref="W12:AA12"/>
    <mergeCell ref="B7:M9"/>
    <mergeCell ref="N7:Q9"/>
    <mergeCell ref="N11:Q11"/>
    <mergeCell ref="J11:L11"/>
    <mergeCell ref="J12:L12"/>
    <mergeCell ref="N12:Q12"/>
    <mergeCell ref="AV12:AZ12"/>
    <mergeCell ref="AG11:AK11"/>
    <mergeCell ref="AL11:AP11"/>
    <mergeCell ref="AQ11:AU11"/>
    <mergeCell ref="AV11:AZ11"/>
    <mergeCell ref="AV7:BJ7"/>
    <mergeCell ref="C11:H11"/>
    <mergeCell ref="R11:V11"/>
    <mergeCell ref="W11:AA11"/>
    <mergeCell ref="AB11:AF11"/>
    <mergeCell ref="B5:BJ5"/>
    <mergeCell ref="R9:V9"/>
    <mergeCell ref="W9:AA9"/>
    <mergeCell ref="AB9:AF9"/>
    <mergeCell ref="AG9:AK9"/>
    <mergeCell ref="AL9:AP9"/>
    <mergeCell ref="AQ9:AU9"/>
    <mergeCell ref="R8:AF8"/>
    <mergeCell ref="AG8:AU8"/>
    <mergeCell ref="R7:AU7"/>
    <mergeCell ref="BA11:BE11"/>
    <mergeCell ref="BF11:BJ11"/>
    <mergeCell ref="AB12:AF12"/>
    <mergeCell ref="AG12:AK12"/>
    <mergeCell ref="AL12:AP12"/>
    <mergeCell ref="AQ12:AU12"/>
    <mergeCell ref="AQ13:AU13"/>
    <mergeCell ref="AV13:AZ13"/>
    <mergeCell ref="AV8:AZ9"/>
    <mergeCell ref="BA8:BE9"/>
    <mergeCell ref="BF8:BJ9"/>
    <mergeCell ref="BA12:BE12"/>
    <mergeCell ref="BF12:BJ12"/>
    <mergeCell ref="AB13:AF13"/>
    <mergeCell ref="AG13:AK13"/>
    <mergeCell ref="AL13:AP13"/>
    <mergeCell ref="BA13:BE13"/>
    <mergeCell ref="BF13:BJ13"/>
    <mergeCell ref="J14:L14"/>
    <mergeCell ref="N14:Q14"/>
    <mergeCell ref="R14:V14"/>
    <mergeCell ref="W14:AA14"/>
    <mergeCell ref="AB14:AF14"/>
    <mergeCell ref="AG14:AK14"/>
    <mergeCell ref="AL14:AP14"/>
    <mergeCell ref="AQ14:AU14"/>
    <mergeCell ref="J13:L13"/>
    <mergeCell ref="N13:Q13"/>
    <mergeCell ref="R13:V13"/>
    <mergeCell ref="W13:AA13"/>
    <mergeCell ref="AV14:AZ14"/>
    <mergeCell ref="BA14:BE14"/>
    <mergeCell ref="BF14:BJ14"/>
    <mergeCell ref="C16:H16"/>
    <mergeCell ref="J16:L16"/>
    <mergeCell ref="N16:Q16"/>
    <mergeCell ref="R16:V16"/>
    <mergeCell ref="W16:AA16"/>
    <mergeCell ref="BF16:BJ16"/>
    <mergeCell ref="BA16:BE16"/>
    <mergeCell ref="AB16:AF16"/>
    <mergeCell ref="AG16:AK16"/>
    <mergeCell ref="AL16:AP16"/>
    <mergeCell ref="AQ16:AU16"/>
    <mergeCell ref="AV16:AZ16"/>
    <mergeCell ref="J17:L17"/>
    <mergeCell ref="N17:Q17"/>
    <mergeCell ref="R17:V17"/>
    <mergeCell ref="W17:AA17"/>
    <mergeCell ref="AB17:AF17"/>
    <mergeCell ref="AG17:AK17"/>
    <mergeCell ref="BA17:BE17"/>
    <mergeCell ref="BF17:BJ17"/>
    <mergeCell ref="C21:H21"/>
    <mergeCell ref="J21:L21"/>
    <mergeCell ref="N21:Q21"/>
    <mergeCell ref="R21:V21"/>
    <mergeCell ref="W21:AA21"/>
    <mergeCell ref="AB21:AF21"/>
    <mergeCell ref="AG21:AK21"/>
    <mergeCell ref="AL21:AP21"/>
    <mergeCell ref="AL17:AP17"/>
    <mergeCell ref="AQ17:AU17"/>
    <mergeCell ref="AV17:AZ17"/>
    <mergeCell ref="J18:L18"/>
    <mergeCell ref="N18:Q18"/>
    <mergeCell ref="R18:V18"/>
    <mergeCell ref="W18:AA18"/>
    <mergeCell ref="AB18:AF18"/>
    <mergeCell ref="AG18:AK18"/>
    <mergeCell ref="AL18:AP18"/>
    <mergeCell ref="AQ21:AU21"/>
    <mergeCell ref="AV18:AZ18"/>
    <mergeCell ref="J19:L19"/>
    <mergeCell ref="N19:Q19"/>
    <mergeCell ref="R19:V19"/>
    <mergeCell ref="W19:AA19"/>
    <mergeCell ref="AB19:AF19"/>
    <mergeCell ref="AG19:AK19"/>
    <mergeCell ref="AQ18:AU18"/>
    <mergeCell ref="AV21:AZ21"/>
    <mergeCell ref="BA21:BE21"/>
    <mergeCell ref="BF21:BJ21"/>
    <mergeCell ref="AQ19:AU19"/>
    <mergeCell ref="AV19:AZ19"/>
    <mergeCell ref="BA19:BE19"/>
    <mergeCell ref="BF19:BJ19"/>
    <mergeCell ref="AL19:AP19"/>
    <mergeCell ref="BA18:BE18"/>
    <mergeCell ref="BF18:BJ18"/>
    <mergeCell ref="J23:L23"/>
    <mergeCell ref="N23:Q23"/>
    <mergeCell ref="R23:V23"/>
    <mergeCell ref="W23:AA23"/>
    <mergeCell ref="AB23:AF23"/>
    <mergeCell ref="J22:L22"/>
    <mergeCell ref="N22:Q22"/>
    <mergeCell ref="R22:V22"/>
    <mergeCell ref="W22:AA22"/>
    <mergeCell ref="AB22:AF22"/>
    <mergeCell ref="AL22:AP22"/>
    <mergeCell ref="AQ22:AU22"/>
    <mergeCell ref="AV22:AZ22"/>
    <mergeCell ref="BA22:BE22"/>
    <mergeCell ref="BF22:BJ22"/>
    <mergeCell ref="AG22:AK22"/>
    <mergeCell ref="AG23:AK23"/>
    <mergeCell ref="AL23:AP23"/>
    <mergeCell ref="AQ23:AU23"/>
    <mergeCell ref="AV23:AZ23"/>
    <mergeCell ref="BA23:BE23"/>
    <mergeCell ref="BF23:BJ23"/>
    <mergeCell ref="AV27:AZ27"/>
    <mergeCell ref="BA27:BE27"/>
    <mergeCell ref="BF27:BJ27"/>
    <mergeCell ref="C25:H25"/>
    <mergeCell ref="J25:L25"/>
    <mergeCell ref="N25:Q25"/>
    <mergeCell ref="R25:V25"/>
    <mergeCell ref="W25:AA25"/>
    <mergeCell ref="AB25:AF25"/>
    <mergeCell ref="AG25:AK25"/>
    <mergeCell ref="AL25:AP25"/>
    <mergeCell ref="AQ25:AU25"/>
    <mergeCell ref="AV25:AZ25"/>
    <mergeCell ref="BA25:BE25"/>
    <mergeCell ref="BF25:BJ25"/>
    <mergeCell ref="C27:H27"/>
    <mergeCell ref="J27:L27"/>
    <mergeCell ref="N27:Q27"/>
    <mergeCell ref="R27:V27"/>
    <mergeCell ref="W27:AA27"/>
    <mergeCell ref="AB27:AF27"/>
    <mergeCell ref="AG27:AK27"/>
    <mergeCell ref="AL27:AP27"/>
    <mergeCell ref="AQ27:AU27"/>
    <mergeCell ref="J29:L29"/>
    <mergeCell ref="N29:Q29"/>
    <mergeCell ref="R29:V29"/>
    <mergeCell ref="W29:AA29"/>
    <mergeCell ref="AB29:AF29"/>
    <mergeCell ref="J28:L28"/>
    <mergeCell ref="N28:Q28"/>
    <mergeCell ref="R28:V28"/>
    <mergeCell ref="W28:AA28"/>
    <mergeCell ref="AB28:AF28"/>
    <mergeCell ref="AV31:AZ31"/>
    <mergeCell ref="BA31:BE31"/>
    <mergeCell ref="BF31:BJ31"/>
    <mergeCell ref="AL28:AP28"/>
    <mergeCell ref="AQ28:AU28"/>
    <mergeCell ref="AV28:AZ28"/>
    <mergeCell ref="BA28:BE28"/>
    <mergeCell ref="BF28:BJ28"/>
    <mergeCell ref="AG28:AK28"/>
    <mergeCell ref="AG29:AK29"/>
    <mergeCell ref="AL29:AP29"/>
    <mergeCell ref="AQ29:AU29"/>
    <mergeCell ref="AV29:AZ29"/>
    <mergeCell ref="BA29:BE29"/>
    <mergeCell ref="BF29:BJ29"/>
    <mergeCell ref="C31:H31"/>
    <mergeCell ref="J31:L31"/>
    <mergeCell ref="N31:Q31"/>
    <mergeCell ref="R31:V31"/>
    <mergeCell ref="W31:AA31"/>
    <mergeCell ref="AB31:AF31"/>
    <mergeCell ref="AG31:AK31"/>
    <mergeCell ref="AL31:AP31"/>
    <mergeCell ref="AQ31:AU31"/>
    <mergeCell ref="BF35:BJ35"/>
    <mergeCell ref="C33:H33"/>
    <mergeCell ref="J33:L33"/>
    <mergeCell ref="N33:Q33"/>
    <mergeCell ref="R33:V33"/>
    <mergeCell ref="W33:AA33"/>
    <mergeCell ref="AB33:AF33"/>
    <mergeCell ref="AG33:AK33"/>
    <mergeCell ref="AL33:AP33"/>
    <mergeCell ref="AQ33:AU33"/>
    <mergeCell ref="AV33:AZ33"/>
    <mergeCell ref="BA33:BE33"/>
    <mergeCell ref="BF33:BJ33"/>
    <mergeCell ref="C35:H35"/>
    <mergeCell ref="J35:L35"/>
    <mergeCell ref="N35:Q35"/>
    <mergeCell ref="R35:V35"/>
    <mergeCell ref="W35:AA35"/>
    <mergeCell ref="AB35:AF35"/>
    <mergeCell ref="AG35:AK35"/>
    <mergeCell ref="AL35:AP35"/>
    <mergeCell ref="AQ35:AU35"/>
    <mergeCell ref="J37:L37"/>
    <mergeCell ref="N37:Q37"/>
    <mergeCell ref="R37:V37"/>
    <mergeCell ref="W37:AA37"/>
    <mergeCell ref="AB37:AF37"/>
    <mergeCell ref="J36:L36"/>
    <mergeCell ref="N36:Q36"/>
    <mergeCell ref="R36:V36"/>
    <mergeCell ref="W36:AA36"/>
    <mergeCell ref="AB36:AF36"/>
    <mergeCell ref="AL36:AP36"/>
    <mergeCell ref="AQ36:AU36"/>
    <mergeCell ref="AV36:AZ36"/>
    <mergeCell ref="BA36:BE36"/>
    <mergeCell ref="BF36:BJ36"/>
    <mergeCell ref="AG36:AK36"/>
    <mergeCell ref="AG37:AK37"/>
    <mergeCell ref="AL37:AP37"/>
    <mergeCell ref="AQ37:AU37"/>
    <mergeCell ref="AV37:AZ37"/>
    <mergeCell ref="BA37:BE37"/>
    <mergeCell ref="BF37:BJ37"/>
    <mergeCell ref="C39:H39"/>
    <mergeCell ref="J39:L39"/>
    <mergeCell ref="N39:Q39"/>
    <mergeCell ref="R39:V39"/>
    <mergeCell ref="W39:AA39"/>
    <mergeCell ref="AB39:AF39"/>
    <mergeCell ref="AG39:AK39"/>
    <mergeCell ref="AL39:AP39"/>
    <mergeCell ref="AQ39:AU39"/>
    <mergeCell ref="C43:D43"/>
    <mergeCell ref="F43:G43"/>
    <mergeCell ref="F44:G44"/>
    <mergeCell ref="F45:G45"/>
    <mergeCell ref="B46:D46"/>
    <mergeCell ref="B48:BJ48"/>
    <mergeCell ref="C41:H41"/>
    <mergeCell ref="J41:L41"/>
    <mergeCell ref="N41:Q41"/>
    <mergeCell ref="R41:V41"/>
    <mergeCell ref="W41:AA41"/>
    <mergeCell ref="AB41:AF41"/>
    <mergeCell ref="AG41:AK41"/>
    <mergeCell ref="AL41:AP41"/>
    <mergeCell ref="AQ41:AU41"/>
    <mergeCell ref="AV41:AZ41"/>
    <mergeCell ref="BA41:BE41"/>
    <mergeCell ref="BF41:BJ41"/>
    <mergeCell ref="C54:F54"/>
    <mergeCell ref="I54:L54"/>
    <mergeCell ref="G54:H54"/>
    <mergeCell ref="G55:H55"/>
    <mergeCell ref="R54:U54"/>
    <mergeCell ref="V54:Y54"/>
    <mergeCell ref="BE50:BJ52"/>
    <mergeCell ref="AS50:AV52"/>
    <mergeCell ref="AW50:AZ52"/>
    <mergeCell ref="BA50:BD52"/>
    <mergeCell ref="B50:M52"/>
    <mergeCell ref="N51:Q52"/>
    <mergeCell ref="R51:U52"/>
    <mergeCell ref="V50:Y52"/>
    <mergeCell ref="Z50:AC52"/>
    <mergeCell ref="AD51:AH52"/>
    <mergeCell ref="AD50:AR50"/>
    <mergeCell ref="AN51:AR52"/>
    <mergeCell ref="Z54:AC54"/>
    <mergeCell ref="R55:U55"/>
    <mergeCell ref="AI51:AM52"/>
    <mergeCell ref="G56:H56"/>
    <mergeCell ref="G57:H57"/>
    <mergeCell ref="G58:H58"/>
    <mergeCell ref="N54:Q54"/>
    <mergeCell ref="N55:Q55"/>
    <mergeCell ref="N56:Q56"/>
    <mergeCell ref="N57:Q57"/>
    <mergeCell ref="N58:Q58"/>
    <mergeCell ref="N50:U50"/>
    <mergeCell ref="R58:U58"/>
    <mergeCell ref="R56:U56"/>
    <mergeCell ref="R57:U57"/>
    <mergeCell ref="V58:Y58"/>
    <mergeCell ref="V55:Y55"/>
    <mergeCell ref="V56:Y56"/>
    <mergeCell ref="V57:Y57"/>
    <mergeCell ref="AI54:AM54"/>
    <mergeCell ref="AN54:AR54"/>
    <mergeCell ref="AI55:AM55"/>
    <mergeCell ref="AI57:AM57"/>
    <mergeCell ref="AN57:AR57"/>
    <mergeCell ref="G61:H61"/>
    <mergeCell ref="N60:Q60"/>
    <mergeCell ref="N61:Q61"/>
    <mergeCell ref="G60:H60"/>
    <mergeCell ref="V60:Y60"/>
    <mergeCell ref="AN55:AR55"/>
    <mergeCell ref="AI56:AM56"/>
    <mergeCell ref="AN56:AR56"/>
    <mergeCell ref="AI58:AM58"/>
    <mergeCell ref="AN58:AR58"/>
    <mergeCell ref="Z58:AC58"/>
    <mergeCell ref="AD54:AH54"/>
    <mergeCell ref="AD55:AH55"/>
    <mergeCell ref="AD56:AH56"/>
    <mergeCell ref="AD57:AH57"/>
    <mergeCell ref="AD58:AH58"/>
    <mergeCell ref="Z55:AC55"/>
    <mergeCell ref="Z56:AC56"/>
    <mergeCell ref="Z57:AC57"/>
    <mergeCell ref="Z60:AC60"/>
    <mergeCell ref="AD60:AH60"/>
    <mergeCell ref="AI60:AM60"/>
    <mergeCell ref="AS62:AV62"/>
    <mergeCell ref="AN60:AR60"/>
    <mergeCell ref="AI62:AM62"/>
    <mergeCell ref="AN62:AR62"/>
    <mergeCell ref="G62:H62"/>
    <mergeCell ref="G63:H63"/>
    <mergeCell ref="V62:Y62"/>
    <mergeCell ref="Z62:AC62"/>
    <mergeCell ref="AD62:AH62"/>
    <mergeCell ref="N63:Q63"/>
    <mergeCell ref="N62:Q62"/>
    <mergeCell ref="R62:U62"/>
    <mergeCell ref="R63:U63"/>
    <mergeCell ref="AS1:BK2"/>
    <mergeCell ref="AS60:AV60"/>
    <mergeCell ref="BE54:BJ54"/>
    <mergeCell ref="BE55:BJ55"/>
    <mergeCell ref="BE56:BJ56"/>
    <mergeCell ref="BE57:BJ57"/>
    <mergeCell ref="BE58:BJ58"/>
    <mergeCell ref="AW60:AZ60"/>
    <mergeCell ref="BA60:BD60"/>
    <mergeCell ref="BE60:BJ60"/>
    <mergeCell ref="AW54:AZ54"/>
    <mergeCell ref="AS54:AV54"/>
    <mergeCell ref="AS55:AV55"/>
    <mergeCell ref="AS56:AV56"/>
    <mergeCell ref="AS57:AV57"/>
    <mergeCell ref="AS58:AV58"/>
    <mergeCell ref="BA57:BD57"/>
    <mergeCell ref="AW58:AZ58"/>
    <mergeCell ref="BA58:BD58"/>
    <mergeCell ref="AV39:AZ39"/>
    <mergeCell ref="BA39:BE39"/>
    <mergeCell ref="BF39:BJ39"/>
    <mergeCell ref="AV35:AZ35"/>
    <mergeCell ref="BA35:BE35"/>
    <mergeCell ref="AW64:AZ64"/>
    <mergeCell ref="BA64:BD64"/>
    <mergeCell ref="BE64:BJ64"/>
    <mergeCell ref="C66:D66"/>
    <mergeCell ref="BA54:BD54"/>
    <mergeCell ref="AW55:AZ55"/>
    <mergeCell ref="BA55:BD55"/>
    <mergeCell ref="AW56:AZ56"/>
    <mergeCell ref="BA56:BD56"/>
    <mergeCell ref="AW57:AZ57"/>
    <mergeCell ref="AW62:AZ62"/>
    <mergeCell ref="BA62:BD62"/>
    <mergeCell ref="BE62:BJ62"/>
    <mergeCell ref="AN61:AR61"/>
    <mergeCell ref="AS61:AV61"/>
    <mergeCell ref="AW61:AZ61"/>
    <mergeCell ref="BA61:BD61"/>
    <mergeCell ref="BE61:BJ61"/>
    <mergeCell ref="R61:U61"/>
    <mergeCell ref="V61:Y61"/>
    <mergeCell ref="Z61:AC61"/>
    <mergeCell ref="AD61:AH61"/>
    <mergeCell ref="AI61:AM61"/>
    <mergeCell ref="R60:U60"/>
    <mergeCell ref="N64:Q64"/>
    <mergeCell ref="R64:U64"/>
    <mergeCell ref="V64:Y64"/>
    <mergeCell ref="Z64:AC64"/>
    <mergeCell ref="AD64:AH64"/>
    <mergeCell ref="AI64:AM64"/>
    <mergeCell ref="B67:D67"/>
    <mergeCell ref="AN64:AR64"/>
    <mergeCell ref="AS64:AV64"/>
    <mergeCell ref="G64:H64"/>
    <mergeCell ref="V63:Y63"/>
    <mergeCell ref="Z63:AC63"/>
    <mergeCell ref="AD63:AH63"/>
    <mergeCell ref="AI63:AM63"/>
    <mergeCell ref="AN63:AR63"/>
    <mergeCell ref="AS63:AV63"/>
    <mergeCell ref="AW63:AZ63"/>
    <mergeCell ref="BA63:BD63"/>
    <mergeCell ref="BE63:BJ63"/>
  </mergeCells>
  <phoneticPr fontId="2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3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2" ht="11.1" customHeight="1">
      <c r="A1" s="376">
        <f>'205'!AS1+1</f>
        <v>206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</row>
    <row r="2" spans="1:62" ht="11.1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62" ht="11.1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</row>
    <row r="4" spans="1:62" ht="18" customHeight="1">
      <c r="B4" s="379" t="s">
        <v>694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  <c r="AT4" s="379"/>
      <c r="AU4" s="379"/>
      <c r="AV4" s="379"/>
      <c r="AW4" s="379"/>
      <c r="AX4" s="379"/>
      <c r="AY4" s="379"/>
      <c r="AZ4" s="379"/>
      <c r="BA4" s="379"/>
      <c r="BB4" s="379"/>
      <c r="BC4" s="379"/>
      <c r="BD4" s="379"/>
      <c r="BE4" s="379"/>
      <c r="BF4" s="379"/>
      <c r="BG4" s="379"/>
      <c r="BH4" s="379"/>
      <c r="BI4" s="379"/>
      <c r="BJ4" s="379"/>
    </row>
    <row r="5" spans="1:62" ht="12.95" customHeight="1">
      <c r="BJ5" s="20" t="s">
        <v>654</v>
      </c>
    </row>
    <row r="6" spans="1:62" ht="15" customHeight="1">
      <c r="B6" s="411" t="s">
        <v>424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 t="s">
        <v>676</v>
      </c>
      <c r="P6" s="386"/>
      <c r="Q6" s="386"/>
      <c r="R6" s="386"/>
      <c r="S6" s="386"/>
      <c r="T6" s="386"/>
      <c r="U6" s="386" t="s">
        <v>652</v>
      </c>
      <c r="V6" s="386"/>
      <c r="W6" s="386"/>
      <c r="X6" s="386"/>
      <c r="Y6" s="386"/>
      <c r="Z6" s="386"/>
      <c r="AA6" s="386" t="s">
        <v>651</v>
      </c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  <c r="AR6" s="386"/>
      <c r="AS6" s="386" t="s">
        <v>471</v>
      </c>
      <c r="AT6" s="386"/>
      <c r="AU6" s="386"/>
      <c r="AV6" s="386"/>
      <c r="AW6" s="386"/>
      <c r="AX6" s="386"/>
      <c r="AY6" s="386"/>
      <c r="AZ6" s="386"/>
      <c r="BA6" s="386"/>
      <c r="BB6" s="386"/>
      <c r="BC6" s="386"/>
      <c r="BD6" s="386"/>
      <c r="BE6" s="386"/>
      <c r="BF6" s="386"/>
      <c r="BG6" s="386"/>
      <c r="BH6" s="386"/>
      <c r="BI6" s="386"/>
      <c r="BJ6" s="387"/>
    </row>
    <row r="7" spans="1:62" ht="15" customHeight="1">
      <c r="B7" s="412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470" t="s">
        <v>238</v>
      </c>
      <c r="AB7" s="470"/>
      <c r="AC7" s="470"/>
      <c r="AD7" s="470"/>
      <c r="AE7" s="470"/>
      <c r="AF7" s="470"/>
      <c r="AG7" s="470" t="s">
        <v>644</v>
      </c>
      <c r="AH7" s="470"/>
      <c r="AI7" s="470"/>
      <c r="AJ7" s="470"/>
      <c r="AK7" s="470"/>
      <c r="AL7" s="470"/>
      <c r="AM7" s="470" t="s">
        <v>643</v>
      </c>
      <c r="AN7" s="470"/>
      <c r="AO7" s="470"/>
      <c r="AP7" s="470"/>
      <c r="AQ7" s="470"/>
      <c r="AR7" s="470"/>
      <c r="AS7" s="470" t="s">
        <v>238</v>
      </c>
      <c r="AT7" s="470"/>
      <c r="AU7" s="470"/>
      <c r="AV7" s="470"/>
      <c r="AW7" s="470"/>
      <c r="AX7" s="470"/>
      <c r="AY7" s="470" t="s">
        <v>644</v>
      </c>
      <c r="AZ7" s="470"/>
      <c r="BA7" s="470"/>
      <c r="BB7" s="470"/>
      <c r="BC7" s="470"/>
      <c r="BD7" s="470"/>
      <c r="BE7" s="470" t="s">
        <v>643</v>
      </c>
      <c r="BF7" s="470"/>
      <c r="BG7" s="470"/>
      <c r="BH7" s="470"/>
      <c r="BI7" s="470"/>
      <c r="BJ7" s="471"/>
    </row>
    <row r="8" spans="1:62" ht="8.1" customHeight="1">
      <c r="N8" s="21"/>
    </row>
    <row r="9" spans="1:62">
      <c r="C9" s="389" t="s">
        <v>7</v>
      </c>
      <c r="D9" s="389"/>
      <c r="E9" s="389"/>
      <c r="F9" s="389"/>
      <c r="G9" s="380">
        <v>16</v>
      </c>
      <c r="H9" s="380"/>
      <c r="I9" s="380"/>
      <c r="J9" s="380" t="s">
        <v>438</v>
      </c>
      <c r="K9" s="380"/>
      <c r="L9" s="380"/>
      <c r="M9" s="380"/>
      <c r="N9" s="22"/>
      <c r="O9" s="832">
        <v>69</v>
      </c>
      <c r="P9" s="832"/>
      <c r="Q9" s="832"/>
      <c r="R9" s="832"/>
      <c r="S9" s="832"/>
      <c r="T9" s="832"/>
      <c r="U9" s="832">
        <v>1071</v>
      </c>
      <c r="V9" s="832"/>
      <c r="W9" s="832"/>
      <c r="X9" s="832"/>
      <c r="Y9" s="832"/>
      <c r="Z9" s="832"/>
      <c r="AA9" s="832">
        <v>1597</v>
      </c>
      <c r="AB9" s="832"/>
      <c r="AC9" s="832"/>
      <c r="AD9" s="832"/>
      <c r="AE9" s="832"/>
      <c r="AF9" s="832"/>
      <c r="AG9" s="832">
        <v>528</v>
      </c>
      <c r="AH9" s="832"/>
      <c r="AI9" s="832"/>
      <c r="AJ9" s="832"/>
      <c r="AK9" s="832"/>
      <c r="AL9" s="832"/>
      <c r="AM9" s="832">
        <v>1069</v>
      </c>
      <c r="AN9" s="832"/>
      <c r="AO9" s="832"/>
      <c r="AP9" s="832"/>
      <c r="AQ9" s="832"/>
      <c r="AR9" s="832"/>
      <c r="AS9" s="832">
        <v>33366</v>
      </c>
      <c r="AT9" s="832"/>
      <c r="AU9" s="832"/>
      <c r="AV9" s="832"/>
      <c r="AW9" s="832"/>
      <c r="AX9" s="832"/>
      <c r="AY9" s="832">
        <v>17302</v>
      </c>
      <c r="AZ9" s="832"/>
      <c r="BA9" s="832"/>
      <c r="BB9" s="832"/>
      <c r="BC9" s="832"/>
      <c r="BD9" s="832"/>
      <c r="BE9" s="832">
        <v>16064</v>
      </c>
      <c r="BF9" s="832"/>
      <c r="BG9" s="832"/>
      <c r="BH9" s="832"/>
      <c r="BI9" s="832"/>
      <c r="BJ9" s="832"/>
    </row>
    <row r="10" spans="1:62">
      <c r="G10" s="380">
        <v>17</v>
      </c>
      <c r="H10" s="380"/>
      <c r="I10" s="380"/>
      <c r="N10" s="22"/>
      <c r="O10" s="832">
        <v>69</v>
      </c>
      <c r="P10" s="832"/>
      <c r="Q10" s="832"/>
      <c r="R10" s="832"/>
      <c r="S10" s="832"/>
      <c r="T10" s="832"/>
      <c r="U10" s="832">
        <v>1080</v>
      </c>
      <c r="V10" s="832"/>
      <c r="W10" s="832"/>
      <c r="X10" s="832"/>
      <c r="Y10" s="832"/>
      <c r="Z10" s="832"/>
      <c r="AA10" s="832">
        <v>1585</v>
      </c>
      <c r="AB10" s="832"/>
      <c r="AC10" s="832"/>
      <c r="AD10" s="832"/>
      <c r="AE10" s="832"/>
      <c r="AF10" s="832"/>
      <c r="AG10" s="832">
        <v>513</v>
      </c>
      <c r="AH10" s="832"/>
      <c r="AI10" s="832"/>
      <c r="AJ10" s="832"/>
      <c r="AK10" s="832"/>
      <c r="AL10" s="832"/>
      <c r="AM10" s="832">
        <v>1072</v>
      </c>
      <c r="AN10" s="832"/>
      <c r="AO10" s="832"/>
      <c r="AP10" s="832"/>
      <c r="AQ10" s="832"/>
      <c r="AR10" s="832"/>
      <c r="AS10" s="832">
        <v>33637</v>
      </c>
      <c r="AT10" s="832"/>
      <c r="AU10" s="832"/>
      <c r="AV10" s="832"/>
      <c r="AW10" s="832"/>
      <c r="AX10" s="832"/>
      <c r="AY10" s="832">
        <v>17389</v>
      </c>
      <c r="AZ10" s="832"/>
      <c r="BA10" s="832"/>
      <c r="BB10" s="832"/>
      <c r="BC10" s="832"/>
      <c r="BD10" s="832"/>
      <c r="BE10" s="832">
        <v>16248</v>
      </c>
      <c r="BF10" s="832"/>
      <c r="BG10" s="832"/>
      <c r="BH10" s="832"/>
      <c r="BI10" s="832"/>
      <c r="BJ10" s="832"/>
    </row>
    <row r="11" spans="1:62">
      <c r="G11" s="380">
        <v>18</v>
      </c>
      <c r="H11" s="380"/>
      <c r="I11" s="380"/>
      <c r="N11" s="22"/>
      <c r="O11" s="832">
        <v>69</v>
      </c>
      <c r="P11" s="832"/>
      <c r="Q11" s="832"/>
      <c r="R11" s="832"/>
      <c r="S11" s="832"/>
      <c r="T11" s="832"/>
      <c r="U11" s="832">
        <v>1084</v>
      </c>
      <c r="V11" s="832"/>
      <c r="W11" s="832"/>
      <c r="X11" s="832"/>
      <c r="Y11" s="832"/>
      <c r="Z11" s="832"/>
      <c r="AA11" s="832">
        <v>1596</v>
      </c>
      <c r="AB11" s="832"/>
      <c r="AC11" s="832"/>
      <c r="AD11" s="832"/>
      <c r="AE11" s="832"/>
      <c r="AF11" s="832"/>
      <c r="AG11" s="832">
        <v>524</v>
      </c>
      <c r="AH11" s="832"/>
      <c r="AI11" s="832"/>
      <c r="AJ11" s="832"/>
      <c r="AK11" s="832"/>
      <c r="AL11" s="832"/>
      <c r="AM11" s="832">
        <v>1072</v>
      </c>
      <c r="AN11" s="832"/>
      <c r="AO11" s="832"/>
      <c r="AP11" s="832"/>
      <c r="AQ11" s="832"/>
      <c r="AR11" s="832"/>
      <c r="AS11" s="832">
        <v>34025</v>
      </c>
      <c r="AT11" s="832"/>
      <c r="AU11" s="832"/>
      <c r="AV11" s="832"/>
      <c r="AW11" s="832"/>
      <c r="AX11" s="832"/>
      <c r="AY11" s="832">
        <v>17656</v>
      </c>
      <c r="AZ11" s="832"/>
      <c r="BA11" s="832"/>
      <c r="BB11" s="832"/>
      <c r="BC11" s="832"/>
      <c r="BD11" s="832"/>
      <c r="BE11" s="832">
        <v>16369</v>
      </c>
      <c r="BF11" s="832"/>
      <c r="BG11" s="832"/>
      <c r="BH11" s="832"/>
      <c r="BI11" s="832"/>
      <c r="BJ11" s="832"/>
    </row>
    <row r="12" spans="1:62">
      <c r="G12" s="380">
        <v>19</v>
      </c>
      <c r="H12" s="380"/>
      <c r="I12" s="380"/>
      <c r="N12" s="22"/>
      <c r="O12" s="832">
        <v>69</v>
      </c>
      <c r="P12" s="832"/>
      <c r="Q12" s="832"/>
      <c r="R12" s="832"/>
      <c r="S12" s="832"/>
      <c r="T12" s="832"/>
      <c r="U12" s="832">
        <v>1078</v>
      </c>
      <c r="V12" s="832"/>
      <c r="W12" s="832"/>
      <c r="X12" s="832"/>
      <c r="Y12" s="832"/>
      <c r="Z12" s="832"/>
      <c r="AA12" s="832">
        <v>1606</v>
      </c>
      <c r="AB12" s="832"/>
      <c r="AC12" s="832"/>
      <c r="AD12" s="832"/>
      <c r="AE12" s="832"/>
      <c r="AF12" s="832"/>
      <c r="AG12" s="832">
        <v>534</v>
      </c>
      <c r="AH12" s="832"/>
      <c r="AI12" s="832"/>
      <c r="AJ12" s="832"/>
      <c r="AK12" s="832"/>
      <c r="AL12" s="832"/>
      <c r="AM12" s="832">
        <v>1072</v>
      </c>
      <c r="AN12" s="832"/>
      <c r="AO12" s="832"/>
      <c r="AP12" s="832"/>
      <c r="AQ12" s="832"/>
      <c r="AR12" s="832"/>
      <c r="AS12" s="832">
        <v>34197</v>
      </c>
      <c r="AT12" s="832"/>
      <c r="AU12" s="832"/>
      <c r="AV12" s="832"/>
      <c r="AW12" s="832"/>
      <c r="AX12" s="832"/>
      <c r="AY12" s="832">
        <v>17698</v>
      </c>
      <c r="AZ12" s="832"/>
      <c r="BA12" s="832"/>
      <c r="BB12" s="832"/>
      <c r="BC12" s="832"/>
      <c r="BD12" s="832"/>
      <c r="BE12" s="832">
        <v>16499</v>
      </c>
      <c r="BF12" s="832"/>
      <c r="BG12" s="832"/>
      <c r="BH12" s="832"/>
      <c r="BI12" s="832"/>
      <c r="BJ12" s="832"/>
    </row>
    <row r="13" spans="1:62">
      <c r="G13" s="380">
        <v>20</v>
      </c>
      <c r="H13" s="380"/>
      <c r="I13" s="380"/>
      <c r="N13" s="22"/>
      <c r="O13" s="832">
        <v>69</v>
      </c>
      <c r="P13" s="832"/>
      <c r="Q13" s="832"/>
      <c r="R13" s="832"/>
      <c r="S13" s="832"/>
      <c r="T13" s="832"/>
      <c r="U13" s="832">
        <v>1091</v>
      </c>
      <c r="V13" s="832"/>
      <c r="W13" s="832"/>
      <c r="X13" s="832"/>
      <c r="Y13" s="832"/>
      <c r="Z13" s="832"/>
      <c r="AA13" s="832">
        <v>1591</v>
      </c>
      <c r="AB13" s="832"/>
      <c r="AC13" s="832"/>
      <c r="AD13" s="832"/>
      <c r="AE13" s="832"/>
      <c r="AF13" s="832"/>
      <c r="AG13" s="832">
        <v>527</v>
      </c>
      <c r="AH13" s="832"/>
      <c r="AI13" s="832"/>
      <c r="AJ13" s="832"/>
      <c r="AK13" s="832"/>
      <c r="AL13" s="832"/>
      <c r="AM13" s="832">
        <v>1064</v>
      </c>
      <c r="AN13" s="832"/>
      <c r="AO13" s="832"/>
      <c r="AP13" s="832"/>
      <c r="AQ13" s="832"/>
      <c r="AR13" s="832"/>
      <c r="AS13" s="832">
        <v>34493</v>
      </c>
      <c r="AT13" s="832"/>
      <c r="AU13" s="832"/>
      <c r="AV13" s="832"/>
      <c r="AW13" s="832"/>
      <c r="AX13" s="832"/>
      <c r="AY13" s="832">
        <v>17804</v>
      </c>
      <c r="AZ13" s="832"/>
      <c r="BA13" s="832"/>
      <c r="BB13" s="832"/>
      <c r="BC13" s="832"/>
      <c r="BD13" s="832"/>
      <c r="BE13" s="832">
        <v>16689</v>
      </c>
      <c r="BF13" s="832"/>
      <c r="BG13" s="832"/>
      <c r="BH13" s="832"/>
      <c r="BI13" s="832"/>
      <c r="BJ13" s="832"/>
    </row>
    <row r="14" spans="1:62" ht="8.1" customHeight="1">
      <c r="N14" s="22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</row>
    <row r="15" spans="1:62">
      <c r="G15" s="380">
        <v>21</v>
      </c>
      <c r="H15" s="380"/>
      <c r="I15" s="380"/>
      <c r="N15" s="22"/>
      <c r="O15" s="832">
        <v>69</v>
      </c>
      <c r="P15" s="832"/>
      <c r="Q15" s="832"/>
      <c r="R15" s="832"/>
      <c r="S15" s="832"/>
      <c r="T15" s="832"/>
      <c r="U15" s="832">
        <v>1089</v>
      </c>
      <c r="V15" s="832"/>
      <c r="W15" s="832"/>
      <c r="X15" s="832"/>
      <c r="Y15" s="832"/>
      <c r="Z15" s="832"/>
      <c r="AA15" s="832">
        <v>1604</v>
      </c>
      <c r="AB15" s="832"/>
      <c r="AC15" s="832"/>
      <c r="AD15" s="832"/>
      <c r="AE15" s="832"/>
      <c r="AF15" s="832"/>
      <c r="AG15" s="832">
        <v>553</v>
      </c>
      <c r="AH15" s="832"/>
      <c r="AI15" s="832"/>
      <c r="AJ15" s="832"/>
      <c r="AK15" s="832"/>
      <c r="AL15" s="832"/>
      <c r="AM15" s="832">
        <v>1051</v>
      </c>
      <c r="AN15" s="832"/>
      <c r="AO15" s="832"/>
      <c r="AP15" s="832"/>
      <c r="AQ15" s="832"/>
      <c r="AR15" s="832"/>
      <c r="AS15" s="832">
        <v>34397</v>
      </c>
      <c r="AT15" s="832"/>
      <c r="AU15" s="832"/>
      <c r="AV15" s="832"/>
      <c r="AW15" s="832"/>
      <c r="AX15" s="832"/>
      <c r="AY15" s="832">
        <v>17776</v>
      </c>
      <c r="AZ15" s="832"/>
      <c r="BA15" s="832"/>
      <c r="BB15" s="832"/>
      <c r="BC15" s="832"/>
      <c r="BD15" s="832"/>
      <c r="BE15" s="832">
        <v>16621</v>
      </c>
      <c r="BF15" s="832"/>
      <c r="BG15" s="832"/>
      <c r="BH15" s="832"/>
      <c r="BI15" s="832"/>
      <c r="BJ15" s="832"/>
    </row>
    <row r="16" spans="1:62">
      <c r="G16" s="380">
        <v>22</v>
      </c>
      <c r="H16" s="380"/>
      <c r="I16" s="380"/>
      <c r="N16" s="22"/>
      <c r="O16" s="832">
        <v>65</v>
      </c>
      <c r="P16" s="832"/>
      <c r="Q16" s="832"/>
      <c r="R16" s="832"/>
      <c r="S16" s="832"/>
      <c r="T16" s="832"/>
      <c r="U16" s="832">
        <v>1082</v>
      </c>
      <c r="V16" s="832"/>
      <c r="W16" s="832"/>
      <c r="X16" s="832"/>
      <c r="Y16" s="832"/>
      <c r="Z16" s="832"/>
      <c r="AA16" s="832">
        <v>1582</v>
      </c>
      <c r="AB16" s="832"/>
      <c r="AC16" s="832"/>
      <c r="AD16" s="832"/>
      <c r="AE16" s="832"/>
      <c r="AF16" s="832"/>
      <c r="AG16" s="832">
        <v>550</v>
      </c>
      <c r="AH16" s="832"/>
      <c r="AI16" s="832"/>
      <c r="AJ16" s="832"/>
      <c r="AK16" s="832"/>
      <c r="AL16" s="832"/>
      <c r="AM16" s="832">
        <v>1032</v>
      </c>
      <c r="AN16" s="832"/>
      <c r="AO16" s="832"/>
      <c r="AP16" s="832"/>
      <c r="AQ16" s="832"/>
      <c r="AR16" s="832"/>
      <c r="AS16" s="832">
        <v>34325</v>
      </c>
      <c r="AT16" s="832"/>
      <c r="AU16" s="832"/>
      <c r="AV16" s="832"/>
      <c r="AW16" s="832"/>
      <c r="AX16" s="832"/>
      <c r="AY16" s="832">
        <v>17759</v>
      </c>
      <c r="AZ16" s="832"/>
      <c r="BA16" s="832"/>
      <c r="BB16" s="832"/>
      <c r="BC16" s="832"/>
      <c r="BD16" s="832"/>
      <c r="BE16" s="832">
        <v>16566</v>
      </c>
      <c r="BF16" s="832"/>
      <c r="BG16" s="832"/>
      <c r="BH16" s="832"/>
      <c r="BI16" s="832"/>
      <c r="BJ16" s="832"/>
    </row>
    <row r="17" spans="2:62">
      <c r="G17" s="380">
        <v>23</v>
      </c>
      <c r="H17" s="380"/>
      <c r="I17" s="380"/>
      <c r="N17" s="22"/>
      <c r="O17" s="832">
        <v>65</v>
      </c>
      <c r="P17" s="832"/>
      <c r="Q17" s="832"/>
      <c r="R17" s="832"/>
      <c r="S17" s="832"/>
      <c r="T17" s="832"/>
      <c r="U17" s="832">
        <v>1081</v>
      </c>
      <c r="V17" s="832"/>
      <c r="W17" s="832"/>
      <c r="X17" s="832"/>
      <c r="Y17" s="832"/>
      <c r="Z17" s="832"/>
      <c r="AA17" s="414">
        <v>1588</v>
      </c>
      <c r="AB17" s="414"/>
      <c r="AC17" s="414"/>
      <c r="AD17" s="414"/>
      <c r="AE17" s="414"/>
      <c r="AF17" s="414"/>
      <c r="AG17" s="832">
        <v>585</v>
      </c>
      <c r="AH17" s="832"/>
      <c r="AI17" s="832"/>
      <c r="AJ17" s="832"/>
      <c r="AK17" s="832"/>
      <c r="AL17" s="832"/>
      <c r="AM17" s="832">
        <v>1003</v>
      </c>
      <c r="AN17" s="832"/>
      <c r="AO17" s="832"/>
      <c r="AP17" s="832"/>
      <c r="AQ17" s="832"/>
      <c r="AR17" s="832"/>
      <c r="AS17" s="414">
        <v>33825</v>
      </c>
      <c r="AT17" s="414"/>
      <c r="AU17" s="414"/>
      <c r="AV17" s="414"/>
      <c r="AW17" s="414"/>
      <c r="AX17" s="414"/>
      <c r="AY17" s="832">
        <v>17493</v>
      </c>
      <c r="AZ17" s="832"/>
      <c r="BA17" s="832"/>
      <c r="BB17" s="832"/>
      <c r="BC17" s="832"/>
      <c r="BD17" s="832"/>
      <c r="BE17" s="832">
        <v>16332</v>
      </c>
      <c r="BF17" s="832"/>
      <c r="BG17" s="832"/>
      <c r="BH17" s="832"/>
      <c r="BI17" s="832"/>
      <c r="BJ17" s="832"/>
    </row>
    <row r="18" spans="2:62">
      <c r="G18" s="380">
        <v>24</v>
      </c>
      <c r="H18" s="380"/>
      <c r="I18" s="380"/>
      <c r="N18" s="22"/>
      <c r="O18" s="832">
        <v>65</v>
      </c>
      <c r="P18" s="832"/>
      <c r="Q18" s="832"/>
      <c r="R18" s="832"/>
      <c r="S18" s="832"/>
      <c r="T18" s="832"/>
      <c r="U18" s="832">
        <v>1089</v>
      </c>
      <c r="V18" s="832"/>
      <c r="W18" s="832"/>
      <c r="X18" s="832"/>
      <c r="Y18" s="832"/>
      <c r="Z18" s="832"/>
      <c r="AA18" s="414">
        <v>1599</v>
      </c>
      <c r="AB18" s="414"/>
      <c r="AC18" s="414"/>
      <c r="AD18" s="414"/>
      <c r="AE18" s="414"/>
      <c r="AF18" s="414"/>
      <c r="AG18" s="414">
        <v>568</v>
      </c>
      <c r="AH18" s="414"/>
      <c r="AI18" s="414"/>
      <c r="AJ18" s="414"/>
      <c r="AK18" s="414"/>
      <c r="AL18" s="414"/>
      <c r="AM18" s="414">
        <v>1031</v>
      </c>
      <c r="AN18" s="414"/>
      <c r="AO18" s="414"/>
      <c r="AP18" s="414"/>
      <c r="AQ18" s="414"/>
      <c r="AR18" s="414"/>
      <c r="AS18" s="414">
        <v>33155</v>
      </c>
      <c r="AT18" s="414"/>
      <c r="AU18" s="414"/>
      <c r="AV18" s="414"/>
      <c r="AW18" s="414"/>
      <c r="AX18" s="414"/>
      <c r="AY18" s="832">
        <v>17111</v>
      </c>
      <c r="AZ18" s="832"/>
      <c r="BA18" s="832"/>
      <c r="BB18" s="832"/>
      <c r="BC18" s="832"/>
      <c r="BD18" s="832"/>
      <c r="BE18" s="832">
        <v>16044</v>
      </c>
      <c r="BF18" s="832"/>
      <c r="BG18" s="832"/>
      <c r="BH18" s="832"/>
      <c r="BI18" s="832"/>
      <c r="BJ18" s="832"/>
    </row>
    <row r="19" spans="2:62">
      <c r="G19" s="392">
        <v>25</v>
      </c>
      <c r="H19" s="392"/>
      <c r="I19" s="392"/>
      <c r="N19" s="22"/>
      <c r="O19" s="831">
        <v>65</v>
      </c>
      <c r="P19" s="831"/>
      <c r="Q19" s="831"/>
      <c r="R19" s="831"/>
      <c r="S19" s="831"/>
      <c r="T19" s="831"/>
      <c r="U19" s="831">
        <v>1079</v>
      </c>
      <c r="V19" s="831"/>
      <c r="W19" s="831"/>
      <c r="X19" s="831"/>
      <c r="Y19" s="831"/>
      <c r="Z19" s="831"/>
      <c r="AA19" s="397">
        <f>SUM(AG19,AM19)</f>
        <v>1590</v>
      </c>
      <c r="AB19" s="397"/>
      <c r="AC19" s="397"/>
      <c r="AD19" s="397"/>
      <c r="AE19" s="397"/>
      <c r="AF19" s="397"/>
      <c r="AG19" s="837">
        <v>569</v>
      </c>
      <c r="AH19" s="837"/>
      <c r="AI19" s="837"/>
      <c r="AJ19" s="837"/>
      <c r="AK19" s="837"/>
      <c r="AL19" s="837"/>
      <c r="AM19" s="837">
        <v>1021</v>
      </c>
      <c r="AN19" s="837"/>
      <c r="AO19" s="837"/>
      <c r="AP19" s="837"/>
      <c r="AQ19" s="837"/>
      <c r="AR19" s="837"/>
      <c r="AS19" s="405">
        <f>SUM(AY19:BJ19)</f>
        <v>32840</v>
      </c>
      <c r="AT19" s="405"/>
      <c r="AU19" s="405"/>
      <c r="AV19" s="405"/>
      <c r="AW19" s="405"/>
      <c r="AX19" s="405"/>
      <c r="AY19" s="831">
        <v>17005</v>
      </c>
      <c r="AZ19" s="831"/>
      <c r="BA19" s="831"/>
      <c r="BB19" s="831"/>
      <c r="BC19" s="831"/>
      <c r="BD19" s="831"/>
      <c r="BE19" s="831">
        <v>15835</v>
      </c>
      <c r="BF19" s="831"/>
      <c r="BG19" s="831"/>
      <c r="BH19" s="831"/>
      <c r="BI19" s="831"/>
      <c r="BJ19" s="831"/>
    </row>
    <row r="20" spans="2:62" ht="8.1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2:62" ht="15" customHeight="1">
      <c r="B21" s="411" t="s">
        <v>424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 t="s">
        <v>471</v>
      </c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6"/>
      <c r="AW21" s="386"/>
      <c r="AX21" s="386"/>
      <c r="AY21" s="386"/>
      <c r="AZ21" s="386"/>
      <c r="BA21" s="386"/>
      <c r="BB21" s="386"/>
      <c r="BC21" s="386"/>
      <c r="BD21" s="386"/>
      <c r="BE21" s="413" t="s">
        <v>693</v>
      </c>
      <c r="BF21" s="386"/>
      <c r="BG21" s="386"/>
      <c r="BH21" s="386"/>
      <c r="BI21" s="386"/>
      <c r="BJ21" s="387"/>
    </row>
    <row r="22" spans="2:62" ht="15" customHeight="1">
      <c r="B22" s="412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 t="s">
        <v>685</v>
      </c>
      <c r="P22" s="385"/>
      <c r="Q22" s="385"/>
      <c r="R22" s="385"/>
      <c r="S22" s="385"/>
      <c r="T22" s="385"/>
      <c r="U22" s="385"/>
      <c r="V22" s="385" t="s">
        <v>684</v>
      </c>
      <c r="W22" s="385"/>
      <c r="X22" s="385"/>
      <c r="Y22" s="385"/>
      <c r="Z22" s="385"/>
      <c r="AA22" s="385"/>
      <c r="AB22" s="385"/>
      <c r="AC22" s="385" t="s">
        <v>683</v>
      </c>
      <c r="AD22" s="385"/>
      <c r="AE22" s="385"/>
      <c r="AF22" s="385"/>
      <c r="AG22" s="385"/>
      <c r="AH22" s="385"/>
      <c r="AI22" s="385"/>
      <c r="AJ22" s="385" t="s">
        <v>692</v>
      </c>
      <c r="AK22" s="385"/>
      <c r="AL22" s="385"/>
      <c r="AM22" s="385"/>
      <c r="AN22" s="385"/>
      <c r="AO22" s="385"/>
      <c r="AP22" s="385"/>
      <c r="AQ22" s="385" t="s">
        <v>691</v>
      </c>
      <c r="AR22" s="385"/>
      <c r="AS22" s="385"/>
      <c r="AT22" s="385"/>
      <c r="AU22" s="385"/>
      <c r="AV22" s="385"/>
      <c r="AW22" s="385"/>
      <c r="AX22" s="385" t="s">
        <v>690</v>
      </c>
      <c r="AY22" s="385"/>
      <c r="AZ22" s="385"/>
      <c r="BA22" s="385"/>
      <c r="BB22" s="385"/>
      <c r="BC22" s="385"/>
      <c r="BD22" s="385"/>
      <c r="BE22" s="385"/>
      <c r="BF22" s="385"/>
      <c r="BG22" s="385"/>
      <c r="BH22" s="385"/>
      <c r="BI22" s="385"/>
      <c r="BJ22" s="388"/>
    </row>
    <row r="23" spans="2:62" ht="8.1" customHeight="1">
      <c r="N23" s="21"/>
    </row>
    <row r="24" spans="2:62">
      <c r="C24" s="389" t="s">
        <v>7</v>
      </c>
      <c r="D24" s="389"/>
      <c r="E24" s="389"/>
      <c r="F24" s="389"/>
      <c r="G24" s="380">
        <v>16</v>
      </c>
      <c r="H24" s="380"/>
      <c r="I24" s="380"/>
      <c r="J24" s="380" t="s">
        <v>438</v>
      </c>
      <c r="K24" s="380"/>
      <c r="L24" s="380"/>
      <c r="M24" s="380"/>
      <c r="N24" s="22"/>
      <c r="O24" s="832">
        <v>5671</v>
      </c>
      <c r="P24" s="832"/>
      <c r="Q24" s="832"/>
      <c r="R24" s="832"/>
      <c r="S24" s="832"/>
      <c r="T24" s="832"/>
      <c r="U24" s="832"/>
      <c r="V24" s="832">
        <v>5616</v>
      </c>
      <c r="W24" s="832"/>
      <c r="X24" s="832"/>
      <c r="Y24" s="832"/>
      <c r="Z24" s="832"/>
      <c r="AA24" s="832"/>
      <c r="AB24" s="832"/>
      <c r="AC24" s="832">
        <v>5466</v>
      </c>
      <c r="AD24" s="832"/>
      <c r="AE24" s="832"/>
      <c r="AF24" s="832"/>
      <c r="AG24" s="832"/>
      <c r="AH24" s="832"/>
      <c r="AI24" s="832"/>
      <c r="AJ24" s="832">
        <v>5674</v>
      </c>
      <c r="AK24" s="832"/>
      <c r="AL24" s="832"/>
      <c r="AM24" s="832"/>
      <c r="AN24" s="832"/>
      <c r="AO24" s="832"/>
      <c r="AP24" s="832"/>
      <c r="AQ24" s="832">
        <v>5414</v>
      </c>
      <c r="AR24" s="832"/>
      <c r="AS24" s="832"/>
      <c r="AT24" s="832"/>
      <c r="AU24" s="832"/>
      <c r="AV24" s="832"/>
      <c r="AW24" s="832"/>
      <c r="AX24" s="832">
        <v>5525</v>
      </c>
      <c r="AY24" s="832"/>
      <c r="AZ24" s="832"/>
      <c r="BA24" s="832"/>
      <c r="BB24" s="832"/>
      <c r="BC24" s="832"/>
      <c r="BD24" s="832"/>
      <c r="BE24" s="836">
        <v>20.892924232936757</v>
      </c>
      <c r="BF24" s="836"/>
      <c r="BG24" s="836"/>
      <c r="BH24" s="836"/>
      <c r="BI24" s="836"/>
      <c r="BJ24" s="836"/>
    </row>
    <row r="25" spans="2:62">
      <c r="G25" s="380">
        <v>17</v>
      </c>
      <c r="H25" s="380"/>
      <c r="I25" s="380"/>
      <c r="N25" s="22"/>
      <c r="O25" s="832">
        <v>5731</v>
      </c>
      <c r="P25" s="832"/>
      <c r="Q25" s="832"/>
      <c r="R25" s="832"/>
      <c r="S25" s="832"/>
      <c r="T25" s="832"/>
      <c r="U25" s="832"/>
      <c r="V25" s="832">
        <v>5671</v>
      </c>
      <c r="W25" s="832"/>
      <c r="X25" s="832"/>
      <c r="Y25" s="832"/>
      <c r="Z25" s="832"/>
      <c r="AA25" s="832"/>
      <c r="AB25" s="832"/>
      <c r="AC25" s="832">
        <v>5616</v>
      </c>
      <c r="AD25" s="832"/>
      <c r="AE25" s="832"/>
      <c r="AF25" s="832"/>
      <c r="AG25" s="832"/>
      <c r="AH25" s="832"/>
      <c r="AI25" s="832"/>
      <c r="AJ25" s="832">
        <v>5472</v>
      </c>
      <c r="AK25" s="832"/>
      <c r="AL25" s="832"/>
      <c r="AM25" s="832"/>
      <c r="AN25" s="832"/>
      <c r="AO25" s="832"/>
      <c r="AP25" s="832"/>
      <c r="AQ25" s="832">
        <v>5709</v>
      </c>
      <c r="AR25" s="832"/>
      <c r="AS25" s="832"/>
      <c r="AT25" s="832"/>
      <c r="AU25" s="832"/>
      <c r="AV25" s="832"/>
      <c r="AW25" s="832"/>
      <c r="AX25" s="832">
        <v>5438</v>
      </c>
      <c r="AY25" s="832"/>
      <c r="AZ25" s="832"/>
      <c r="BA25" s="832"/>
      <c r="BB25" s="832"/>
      <c r="BC25" s="832"/>
      <c r="BD25" s="832"/>
      <c r="BE25" s="836">
        <v>21.222082018927445</v>
      </c>
      <c r="BF25" s="836"/>
      <c r="BG25" s="836"/>
      <c r="BH25" s="836"/>
      <c r="BI25" s="836"/>
      <c r="BJ25" s="836"/>
    </row>
    <row r="26" spans="2:62">
      <c r="G26" s="380">
        <v>18</v>
      </c>
      <c r="H26" s="380"/>
      <c r="I26" s="380"/>
      <c r="N26" s="22"/>
      <c r="O26" s="832">
        <v>5741</v>
      </c>
      <c r="P26" s="832"/>
      <c r="Q26" s="832"/>
      <c r="R26" s="832"/>
      <c r="S26" s="832"/>
      <c r="T26" s="832"/>
      <c r="U26" s="832"/>
      <c r="V26" s="832">
        <v>5743</v>
      </c>
      <c r="W26" s="832"/>
      <c r="X26" s="832"/>
      <c r="Y26" s="832"/>
      <c r="Z26" s="832"/>
      <c r="AA26" s="832"/>
      <c r="AB26" s="832"/>
      <c r="AC26" s="832">
        <v>5647</v>
      </c>
      <c r="AD26" s="832"/>
      <c r="AE26" s="832"/>
      <c r="AF26" s="832"/>
      <c r="AG26" s="832"/>
      <c r="AH26" s="832"/>
      <c r="AI26" s="832"/>
      <c r="AJ26" s="832">
        <v>5653</v>
      </c>
      <c r="AK26" s="832"/>
      <c r="AL26" s="832"/>
      <c r="AM26" s="832"/>
      <c r="AN26" s="832"/>
      <c r="AO26" s="832"/>
      <c r="AP26" s="832"/>
      <c r="AQ26" s="832">
        <v>5504</v>
      </c>
      <c r="AR26" s="832"/>
      <c r="AS26" s="832"/>
      <c r="AT26" s="832"/>
      <c r="AU26" s="832"/>
      <c r="AV26" s="832"/>
      <c r="AW26" s="832"/>
      <c r="AX26" s="832">
        <v>5737</v>
      </c>
      <c r="AY26" s="832"/>
      <c r="AZ26" s="832"/>
      <c r="BA26" s="832"/>
      <c r="BB26" s="832"/>
      <c r="BC26" s="832"/>
      <c r="BD26" s="832"/>
      <c r="BE26" s="836">
        <v>21.31892230576441</v>
      </c>
      <c r="BF26" s="836"/>
      <c r="BG26" s="836"/>
      <c r="BH26" s="836"/>
      <c r="BI26" s="836"/>
      <c r="BJ26" s="836"/>
    </row>
    <row r="27" spans="2:62">
      <c r="G27" s="380">
        <v>19</v>
      </c>
      <c r="H27" s="380"/>
      <c r="I27" s="380"/>
      <c r="N27" s="22"/>
      <c r="O27" s="832">
        <v>5735</v>
      </c>
      <c r="P27" s="832"/>
      <c r="Q27" s="832"/>
      <c r="R27" s="832"/>
      <c r="S27" s="832"/>
      <c r="T27" s="832"/>
      <c r="U27" s="832"/>
      <c r="V27" s="832">
        <v>5778</v>
      </c>
      <c r="W27" s="832"/>
      <c r="X27" s="832"/>
      <c r="Y27" s="832"/>
      <c r="Z27" s="832"/>
      <c r="AA27" s="832"/>
      <c r="AB27" s="832"/>
      <c r="AC27" s="832">
        <v>5800</v>
      </c>
      <c r="AD27" s="832"/>
      <c r="AE27" s="832"/>
      <c r="AF27" s="832"/>
      <c r="AG27" s="832"/>
      <c r="AH27" s="832"/>
      <c r="AI27" s="832"/>
      <c r="AJ27" s="832">
        <v>5672</v>
      </c>
      <c r="AK27" s="832"/>
      <c r="AL27" s="832"/>
      <c r="AM27" s="832"/>
      <c r="AN27" s="832"/>
      <c r="AO27" s="832"/>
      <c r="AP27" s="832"/>
      <c r="AQ27" s="832">
        <v>5684</v>
      </c>
      <c r="AR27" s="832"/>
      <c r="AS27" s="832"/>
      <c r="AT27" s="832"/>
      <c r="AU27" s="832"/>
      <c r="AV27" s="832"/>
      <c r="AW27" s="832"/>
      <c r="AX27" s="832">
        <v>5528</v>
      </c>
      <c r="AY27" s="832"/>
      <c r="AZ27" s="832"/>
      <c r="BA27" s="832"/>
      <c r="BB27" s="832"/>
      <c r="BC27" s="832"/>
      <c r="BD27" s="832"/>
      <c r="BE27" s="836">
        <v>21.293275217932752</v>
      </c>
      <c r="BF27" s="836"/>
      <c r="BG27" s="836"/>
      <c r="BH27" s="836"/>
      <c r="BI27" s="836"/>
      <c r="BJ27" s="836"/>
    </row>
    <row r="28" spans="2:62">
      <c r="G28" s="380">
        <v>20</v>
      </c>
      <c r="H28" s="380"/>
      <c r="I28" s="380"/>
      <c r="N28" s="22"/>
      <c r="O28" s="832">
        <v>5708</v>
      </c>
      <c r="P28" s="832"/>
      <c r="Q28" s="832"/>
      <c r="R28" s="832"/>
      <c r="S28" s="832"/>
      <c r="T28" s="832"/>
      <c r="U28" s="832"/>
      <c r="V28" s="832">
        <v>5762</v>
      </c>
      <c r="W28" s="832"/>
      <c r="X28" s="832"/>
      <c r="Y28" s="832"/>
      <c r="Z28" s="832"/>
      <c r="AA28" s="832"/>
      <c r="AB28" s="832"/>
      <c r="AC28" s="832">
        <v>5802</v>
      </c>
      <c r="AD28" s="832"/>
      <c r="AE28" s="832"/>
      <c r="AF28" s="832"/>
      <c r="AG28" s="832"/>
      <c r="AH28" s="832"/>
      <c r="AI28" s="832"/>
      <c r="AJ28" s="832">
        <v>5800</v>
      </c>
      <c r="AK28" s="832"/>
      <c r="AL28" s="832"/>
      <c r="AM28" s="832"/>
      <c r="AN28" s="832"/>
      <c r="AO28" s="832"/>
      <c r="AP28" s="832"/>
      <c r="AQ28" s="832">
        <v>5686</v>
      </c>
      <c r="AR28" s="832"/>
      <c r="AS28" s="832"/>
      <c r="AT28" s="832"/>
      <c r="AU28" s="832"/>
      <c r="AV28" s="832"/>
      <c r="AW28" s="832"/>
      <c r="AX28" s="832">
        <v>5735</v>
      </c>
      <c r="AY28" s="832"/>
      <c r="AZ28" s="832"/>
      <c r="BA28" s="832"/>
      <c r="BB28" s="832"/>
      <c r="BC28" s="832"/>
      <c r="BD28" s="832"/>
      <c r="BE28" s="836">
        <v>21.680075424261471</v>
      </c>
      <c r="BF28" s="836"/>
      <c r="BG28" s="836"/>
      <c r="BH28" s="836"/>
      <c r="BI28" s="836"/>
      <c r="BJ28" s="836"/>
    </row>
    <row r="29" spans="2:62" ht="8.1" customHeight="1">
      <c r="N29" s="22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5"/>
      <c r="AS29" s="345"/>
      <c r="AT29" s="345"/>
      <c r="AU29" s="345"/>
      <c r="AV29" s="345"/>
      <c r="AW29" s="345"/>
      <c r="AX29" s="345"/>
      <c r="AY29" s="345"/>
      <c r="AZ29" s="345"/>
      <c r="BA29" s="345"/>
      <c r="BB29" s="345"/>
      <c r="BC29" s="345"/>
      <c r="BD29" s="345"/>
      <c r="BE29" s="346"/>
      <c r="BF29" s="346"/>
      <c r="BG29" s="346"/>
      <c r="BH29" s="346"/>
      <c r="BI29" s="346"/>
      <c r="BJ29" s="346"/>
    </row>
    <row r="30" spans="2:62">
      <c r="G30" s="380">
        <v>21</v>
      </c>
      <c r="H30" s="380"/>
      <c r="I30" s="380"/>
      <c r="N30" s="22"/>
      <c r="O30" s="832">
        <v>5533</v>
      </c>
      <c r="P30" s="832"/>
      <c r="Q30" s="832"/>
      <c r="R30" s="832"/>
      <c r="S30" s="832"/>
      <c r="T30" s="832"/>
      <c r="U30" s="832"/>
      <c r="V30" s="832">
        <v>5716</v>
      </c>
      <c r="W30" s="832"/>
      <c r="X30" s="832"/>
      <c r="Y30" s="832"/>
      <c r="Z30" s="832"/>
      <c r="AA30" s="832"/>
      <c r="AB30" s="832"/>
      <c r="AC30" s="832">
        <v>5775</v>
      </c>
      <c r="AD30" s="832"/>
      <c r="AE30" s="832"/>
      <c r="AF30" s="832"/>
      <c r="AG30" s="832"/>
      <c r="AH30" s="832"/>
      <c r="AI30" s="832"/>
      <c r="AJ30" s="832">
        <v>5821</v>
      </c>
      <c r="AK30" s="832"/>
      <c r="AL30" s="832"/>
      <c r="AM30" s="832"/>
      <c r="AN30" s="832"/>
      <c r="AO30" s="832"/>
      <c r="AP30" s="832"/>
      <c r="AQ30" s="832">
        <v>5823</v>
      </c>
      <c r="AR30" s="832"/>
      <c r="AS30" s="832"/>
      <c r="AT30" s="832"/>
      <c r="AU30" s="832"/>
      <c r="AV30" s="832"/>
      <c r="AW30" s="832"/>
      <c r="AX30" s="832">
        <v>5729</v>
      </c>
      <c r="AY30" s="832"/>
      <c r="AZ30" s="832"/>
      <c r="BA30" s="832"/>
      <c r="BB30" s="832"/>
      <c r="BC30" s="832"/>
      <c r="BD30" s="832"/>
      <c r="BE30" s="836">
        <v>21.444513715710723</v>
      </c>
      <c r="BF30" s="836"/>
      <c r="BG30" s="836"/>
      <c r="BH30" s="836"/>
      <c r="BI30" s="836"/>
      <c r="BJ30" s="836"/>
    </row>
    <row r="31" spans="2:62">
      <c r="G31" s="380">
        <v>22</v>
      </c>
      <c r="H31" s="380"/>
      <c r="I31" s="380"/>
      <c r="N31" s="22"/>
      <c r="O31" s="832">
        <v>5564</v>
      </c>
      <c r="P31" s="832"/>
      <c r="Q31" s="832"/>
      <c r="R31" s="832"/>
      <c r="S31" s="832"/>
      <c r="T31" s="832"/>
      <c r="U31" s="832"/>
      <c r="V31" s="832">
        <v>5549</v>
      </c>
      <c r="W31" s="832"/>
      <c r="X31" s="832"/>
      <c r="Y31" s="832"/>
      <c r="Z31" s="832"/>
      <c r="AA31" s="832"/>
      <c r="AB31" s="832"/>
      <c r="AC31" s="832">
        <v>5738</v>
      </c>
      <c r="AD31" s="832"/>
      <c r="AE31" s="832"/>
      <c r="AF31" s="832"/>
      <c r="AG31" s="832"/>
      <c r="AH31" s="832"/>
      <c r="AI31" s="832"/>
      <c r="AJ31" s="832">
        <v>5795</v>
      </c>
      <c r="AK31" s="832"/>
      <c r="AL31" s="832"/>
      <c r="AM31" s="832"/>
      <c r="AN31" s="832"/>
      <c r="AO31" s="832"/>
      <c r="AP31" s="832"/>
      <c r="AQ31" s="832">
        <v>5835</v>
      </c>
      <c r="AR31" s="832"/>
      <c r="AS31" s="832"/>
      <c r="AT31" s="832"/>
      <c r="AU31" s="832"/>
      <c r="AV31" s="832"/>
      <c r="AW31" s="832"/>
      <c r="AX31" s="832">
        <v>5844</v>
      </c>
      <c r="AY31" s="832"/>
      <c r="AZ31" s="832"/>
      <c r="BA31" s="832"/>
      <c r="BB31" s="832"/>
      <c r="BC31" s="832"/>
      <c r="BD31" s="832"/>
      <c r="BE31" s="836">
        <v>21.697218710493047</v>
      </c>
      <c r="BF31" s="836"/>
      <c r="BG31" s="836"/>
      <c r="BH31" s="836"/>
      <c r="BI31" s="836"/>
      <c r="BJ31" s="836"/>
    </row>
    <row r="32" spans="2:62">
      <c r="G32" s="380">
        <v>23</v>
      </c>
      <c r="H32" s="380"/>
      <c r="I32" s="380"/>
      <c r="N32" s="22"/>
      <c r="O32" s="832">
        <v>5345</v>
      </c>
      <c r="P32" s="832"/>
      <c r="Q32" s="832"/>
      <c r="R32" s="832"/>
      <c r="S32" s="832"/>
      <c r="T32" s="832"/>
      <c r="U32" s="832"/>
      <c r="V32" s="832">
        <v>5545</v>
      </c>
      <c r="W32" s="832"/>
      <c r="X32" s="832"/>
      <c r="Y32" s="832"/>
      <c r="Z32" s="832"/>
      <c r="AA32" s="832"/>
      <c r="AB32" s="832"/>
      <c r="AC32" s="832">
        <v>5544</v>
      </c>
      <c r="AD32" s="832"/>
      <c r="AE32" s="832"/>
      <c r="AF32" s="832"/>
      <c r="AG32" s="832"/>
      <c r="AH32" s="832"/>
      <c r="AI32" s="832"/>
      <c r="AJ32" s="832">
        <v>5758</v>
      </c>
      <c r="AK32" s="832"/>
      <c r="AL32" s="832"/>
      <c r="AM32" s="832"/>
      <c r="AN32" s="832"/>
      <c r="AO32" s="832"/>
      <c r="AP32" s="832"/>
      <c r="AQ32" s="832">
        <v>5777</v>
      </c>
      <c r="AR32" s="832"/>
      <c r="AS32" s="832"/>
      <c r="AT32" s="832"/>
      <c r="AU32" s="832"/>
      <c r="AV32" s="832"/>
      <c r="AW32" s="832"/>
      <c r="AX32" s="832">
        <v>5856</v>
      </c>
      <c r="AY32" s="832"/>
      <c r="AZ32" s="832"/>
      <c r="BA32" s="832"/>
      <c r="BB32" s="832"/>
      <c r="BC32" s="832"/>
      <c r="BD32" s="832"/>
      <c r="BE32" s="836">
        <v>21.3</v>
      </c>
      <c r="BF32" s="836"/>
      <c r="BG32" s="836"/>
      <c r="BH32" s="836"/>
      <c r="BI32" s="836"/>
      <c r="BJ32" s="836"/>
    </row>
    <row r="33" spans="2:62">
      <c r="G33" s="380">
        <v>24</v>
      </c>
      <c r="H33" s="380"/>
      <c r="I33" s="380"/>
      <c r="N33" s="22"/>
      <c r="O33" s="832">
        <v>5144</v>
      </c>
      <c r="P33" s="832"/>
      <c r="Q33" s="832"/>
      <c r="R33" s="832"/>
      <c r="S33" s="832"/>
      <c r="T33" s="832"/>
      <c r="U33" s="832"/>
      <c r="V33" s="832">
        <v>5359</v>
      </c>
      <c r="W33" s="832"/>
      <c r="X33" s="832"/>
      <c r="Y33" s="832"/>
      <c r="Z33" s="832"/>
      <c r="AA33" s="832"/>
      <c r="AB33" s="832"/>
      <c r="AC33" s="832">
        <v>5522</v>
      </c>
      <c r="AD33" s="832"/>
      <c r="AE33" s="832"/>
      <c r="AF33" s="832"/>
      <c r="AG33" s="832"/>
      <c r="AH33" s="832"/>
      <c r="AI33" s="832"/>
      <c r="AJ33" s="832">
        <v>5559</v>
      </c>
      <c r="AK33" s="832"/>
      <c r="AL33" s="832"/>
      <c r="AM33" s="832"/>
      <c r="AN33" s="832"/>
      <c r="AO33" s="832"/>
      <c r="AP33" s="832"/>
      <c r="AQ33" s="832">
        <v>5771</v>
      </c>
      <c r="AR33" s="832"/>
      <c r="AS33" s="832"/>
      <c r="AT33" s="832"/>
      <c r="AU33" s="832"/>
      <c r="AV33" s="832"/>
      <c r="AW33" s="832"/>
      <c r="AX33" s="832">
        <v>5800</v>
      </c>
      <c r="AY33" s="832"/>
      <c r="AZ33" s="832"/>
      <c r="BA33" s="832"/>
      <c r="BB33" s="832"/>
      <c r="BC33" s="832"/>
      <c r="BD33" s="832"/>
      <c r="BE33" s="836">
        <v>20.734834271419636</v>
      </c>
      <c r="BF33" s="836"/>
      <c r="BG33" s="836"/>
      <c r="BH33" s="836"/>
      <c r="BI33" s="836"/>
      <c r="BJ33" s="836"/>
    </row>
    <row r="34" spans="2:62">
      <c r="G34" s="392">
        <v>25</v>
      </c>
      <c r="H34" s="392"/>
      <c r="I34" s="392"/>
      <c r="N34" s="22"/>
      <c r="O34" s="831">
        <v>5437</v>
      </c>
      <c r="P34" s="831"/>
      <c r="Q34" s="831"/>
      <c r="R34" s="831"/>
      <c r="S34" s="831"/>
      <c r="T34" s="831"/>
      <c r="U34" s="831"/>
      <c r="V34" s="831">
        <v>5155</v>
      </c>
      <c r="W34" s="831"/>
      <c r="X34" s="831"/>
      <c r="Y34" s="831"/>
      <c r="Z34" s="831"/>
      <c r="AA34" s="831"/>
      <c r="AB34" s="831"/>
      <c r="AC34" s="831">
        <v>5327</v>
      </c>
      <c r="AD34" s="831"/>
      <c r="AE34" s="831"/>
      <c r="AF34" s="831"/>
      <c r="AG34" s="831"/>
      <c r="AH34" s="831"/>
      <c r="AI34" s="831"/>
      <c r="AJ34" s="831">
        <v>5548</v>
      </c>
      <c r="AK34" s="831"/>
      <c r="AL34" s="831"/>
      <c r="AM34" s="831"/>
      <c r="AN34" s="831"/>
      <c r="AO34" s="831"/>
      <c r="AP34" s="831"/>
      <c r="AQ34" s="831">
        <v>5593</v>
      </c>
      <c r="AR34" s="831"/>
      <c r="AS34" s="831"/>
      <c r="AT34" s="831"/>
      <c r="AU34" s="831"/>
      <c r="AV34" s="831"/>
      <c r="AW34" s="831"/>
      <c r="AX34" s="831">
        <v>5780</v>
      </c>
      <c r="AY34" s="831"/>
      <c r="AZ34" s="831"/>
      <c r="BA34" s="831"/>
      <c r="BB34" s="831"/>
      <c r="BC34" s="831"/>
      <c r="BD34" s="831"/>
      <c r="BE34" s="835">
        <f>AS19/AA19</f>
        <v>20.654088050314467</v>
      </c>
      <c r="BF34" s="835"/>
      <c r="BG34" s="835"/>
      <c r="BH34" s="835"/>
      <c r="BI34" s="835"/>
      <c r="BJ34" s="835"/>
    </row>
    <row r="35" spans="2:62" ht="8.1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2:62">
      <c r="C36" s="400" t="s">
        <v>8</v>
      </c>
      <c r="D36" s="400"/>
      <c r="E36" s="297" t="s">
        <v>470</v>
      </c>
      <c r="F36" s="378">
        <v>-1</v>
      </c>
      <c r="G36" s="378"/>
      <c r="H36" s="2" t="s">
        <v>682</v>
      </c>
    </row>
    <row r="37" spans="2:62" ht="12" customHeight="1">
      <c r="F37" s="378">
        <v>-2</v>
      </c>
      <c r="G37" s="378"/>
      <c r="H37" s="5" t="s">
        <v>689</v>
      </c>
    </row>
    <row r="38" spans="2:62">
      <c r="B38" s="404" t="s">
        <v>9</v>
      </c>
      <c r="C38" s="404"/>
      <c r="D38" s="404"/>
      <c r="E38" s="297" t="s">
        <v>470</v>
      </c>
      <c r="F38" s="162" t="s">
        <v>680</v>
      </c>
    </row>
    <row r="40" spans="2:62" ht="18" customHeight="1">
      <c r="B40" s="379" t="s">
        <v>688</v>
      </c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E40" s="379"/>
      <c r="AF40" s="379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79"/>
      <c r="AR40" s="379"/>
      <c r="AS40" s="379"/>
      <c r="AT40" s="379"/>
      <c r="AU40" s="379"/>
      <c r="AV40" s="379"/>
      <c r="AW40" s="379"/>
      <c r="AX40" s="379"/>
      <c r="AY40" s="379"/>
      <c r="AZ40" s="379"/>
      <c r="BA40" s="379"/>
      <c r="BB40" s="379"/>
      <c r="BC40" s="379"/>
      <c r="BD40" s="379"/>
      <c r="BE40" s="379"/>
      <c r="BF40" s="379"/>
      <c r="BG40" s="379"/>
      <c r="BH40" s="379"/>
      <c r="BI40" s="379"/>
      <c r="BJ40" s="379"/>
    </row>
    <row r="41" spans="2:62" ht="12.95" customHeight="1">
      <c r="BJ41" s="20" t="s">
        <v>654</v>
      </c>
    </row>
    <row r="42" spans="2:62" ht="15" customHeight="1">
      <c r="B42" s="411" t="s">
        <v>424</v>
      </c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 t="s">
        <v>676</v>
      </c>
      <c r="P42" s="386"/>
      <c r="Q42" s="386"/>
      <c r="R42" s="386"/>
      <c r="S42" s="386"/>
      <c r="T42" s="386"/>
      <c r="U42" s="386"/>
      <c r="V42" s="386"/>
      <c r="W42" s="386"/>
      <c r="X42" s="386" t="s">
        <v>652</v>
      </c>
      <c r="Y42" s="386"/>
      <c r="Z42" s="386"/>
      <c r="AA42" s="386"/>
      <c r="AB42" s="386"/>
      <c r="AC42" s="386"/>
      <c r="AD42" s="386"/>
      <c r="AE42" s="386"/>
      <c r="AF42" s="386"/>
      <c r="AG42" s="386" t="s">
        <v>651</v>
      </c>
      <c r="AH42" s="386"/>
      <c r="AI42" s="386"/>
      <c r="AJ42" s="386"/>
      <c r="AK42" s="386"/>
      <c r="AL42" s="386"/>
      <c r="AM42" s="386"/>
      <c r="AN42" s="386"/>
      <c r="AO42" s="386"/>
      <c r="AP42" s="386"/>
      <c r="AQ42" s="386"/>
      <c r="AR42" s="386"/>
      <c r="AS42" s="386"/>
      <c r="AT42" s="386"/>
      <c r="AU42" s="386"/>
      <c r="AV42" s="386"/>
      <c r="AW42" s="386"/>
      <c r="AX42" s="386"/>
      <c r="AY42" s="386"/>
      <c r="AZ42" s="386"/>
      <c r="BA42" s="386"/>
      <c r="BB42" s="386"/>
      <c r="BC42" s="386"/>
      <c r="BD42" s="386"/>
      <c r="BE42" s="386"/>
      <c r="BF42" s="386"/>
      <c r="BG42" s="386"/>
      <c r="BH42" s="386"/>
      <c r="BI42" s="386"/>
      <c r="BJ42" s="387"/>
    </row>
    <row r="43" spans="2:62" ht="15" customHeight="1">
      <c r="B43" s="412"/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470" t="s">
        <v>238</v>
      </c>
      <c r="AH43" s="470"/>
      <c r="AI43" s="470"/>
      <c r="AJ43" s="470"/>
      <c r="AK43" s="470"/>
      <c r="AL43" s="470"/>
      <c r="AM43" s="470"/>
      <c r="AN43" s="470"/>
      <c r="AO43" s="470"/>
      <c r="AP43" s="470"/>
      <c r="AQ43" s="470" t="s">
        <v>644</v>
      </c>
      <c r="AR43" s="470"/>
      <c r="AS43" s="470"/>
      <c r="AT43" s="470"/>
      <c r="AU43" s="470"/>
      <c r="AV43" s="470"/>
      <c r="AW43" s="470"/>
      <c r="AX43" s="470"/>
      <c r="AY43" s="470"/>
      <c r="AZ43" s="470"/>
      <c r="BA43" s="470" t="s">
        <v>643</v>
      </c>
      <c r="BB43" s="470"/>
      <c r="BC43" s="470"/>
      <c r="BD43" s="470"/>
      <c r="BE43" s="470"/>
      <c r="BF43" s="470"/>
      <c r="BG43" s="470"/>
      <c r="BH43" s="470"/>
      <c r="BI43" s="470"/>
      <c r="BJ43" s="471"/>
    </row>
    <row r="44" spans="2:62" ht="8.1" customHeight="1">
      <c r="N44" s="21"/>
    </row>
    <row r="45" spans="2:62">
      <c r="C45" s="389" t="s">
        <v>7</v>
      </c>
      <c r="D45" s="389"/>
      <c r="E45" s="389"/>
      <c r="F45" s="389"/>
      <c r="G45" s="380">
        <v>16</v>
      </c>
      <c r="H45" s="380"/>
      <c r="I45" s="380"/>
      <c r="J45" s="380" t="s">
        <v>438</v>
      </c>
      <c r="K45" s="380"/>
      <c r="L45" s="380"/>
      <c r="M45" s="380"/>
      <c r="N45" s="22"/>
      <c r="O45" s="712">
        <v>34</v>
      </c>
      <c r="P45" s="830"/>
      <c r="Q45" s="830"/>
      <c r="R45" s="830"/>
      <c r="S45" s="830"/>
      <c r="T45" s="830"/>
      <c r="U45" s="830"/>
      <c r="V45" s="830"/>
      <c r="W45" s="830"/>
      <c r="X45" s="712">
        <v>390</v>
      </c>
      <c r="Y45" s="823"/>
      <c r="Z45" s="823"/>
      <c r="AA45" s="823"/>
      <c r="AB45" s="823"/>
      <c r="AC45" s="823"/>
      <c r="AD45" s="823"/>
      <c r="AE45" s="823"/>
      <c r="AF45" s="823"/>
      <c r="AG45" s="712">
        <v>766</v>
      </c>
      <c r="AH45" s="823"/>
      <c r="AI45" s="823"/>
      <c r="AJ45" s="823"/>
      <c r="AK45" s="823"/>
      <c r="AL45" s="823"/>
      <c r="AM45" s="823"/>
      <c r="AN45" s="823"/>
      <c r="AO45" s="823"/>
      <c r="AP45" s="823"/>
      <c r="AQ45" s="712">
        <v>444</v>
      </c>
      <c r="AR45" s="823"/>
      <c r="AS45" s="823"/>
      <c r="AT45" s="823"/>
      <c r="AU45" s="823"/>
      <c r="AV45" s="823"/>
      <c r="AW45" s="823"/>
      <c r="AX45" s="823"/>
      <c r="AY45" s="823"/>
      <c r="AZ45" s="823"/>
      <c r="BA45" s="712">
        <v>322</v>
      </c>
      <c r="BB45" s="823"/>
      <c r="BC45" s="823"/>
      <c r="BD45" s="823"/>
      <c r="BE45" s="823"/>
      <c r="BF45" s="823"/>
      <c r="BG45" s="823"/>
      <c r="BH45" s="823"/>
      <c r="BI45" s="823"/>
      <c r="BJ45" s="823"/>
    </row>
    <row r="46" spans="2:62">
      <c r="G46" s="380">
        <v>17</v>
      </c>
      <c r="H46" s="380"/>
      <c r="I46" s="380"/>
      <c r="N46" s="22"/>
      <c r="O46" s="712">
        <v>34</v>
      </c>
      <c r="P46" s="830"/>
      <c r="Q46" s="830"/>
      <c r="R46" s="830"/>
      <c r="S46" s="830"/>
      <c r="T46" s="830"/>
      <c r="U46" s="830"/>
      <c r="V46" s="830"/>
      <c r="W46" s="830"/>
      <c r="X46" s="712">
        <v>395</v>
      </c>
      <c r="Y46" s="823"/>
      <c r="Z46" s="823"/>
      <c r="AA46" s="823"/>
      <c r="AB46" s="823"/>
      <c r="AC46" s="823"/>
      <c r="AD46" s="823"/>
      <c r="AE46" s="823"/>
      <c r="AF46" s="823"/>
      <c r="AG46" s="712">
        <v>756</v>
      </c>
      <c r="AH46" s="823"/>
      <c r="AI46" s="823"/>
      <c r="AJ46" s="823"/>
      <c r="AK46" s="823"/>
      <c r="AL46" s="823"/>
      <c r="AM46" s="823"/>
      <c r="AN46" s="823"/>
      <c r="AO46" s="823"/>
      <c r="AP46" s="823"/>
      <c r="AQ46" s="712">
        <v>432</v>
      </c>
      <c r="AR46" s="823"/>
      <c r="AS46" s="823"/>
      <c r="AT46" s="823"/>
      <c r="AU46" s="823"/>
      <c r="AV46" s="823"/>
      <c r="AW46" s="823"/>
      <c r="AX46" s="823"/>
      <c r="AY46" s="823"/>
      <c r="AZ46" s="823"/>
      <c r="BA46" s="712">
        <v>324</v>
      </c>
      <c r="BB46" s="823"/>
      <c r="BC46" s="823"/>
      <c r="BD46" s="823"/>
      <c r="BE46" s="823"/>
      <c r="BF46" s="823"/>
      <c r="BG46" s="823"/>
      <c r="BH46" s="823"/>
      <c r="BI46" s="823"/>
      <c r="BJ46" s="823"/>
    </row>
    <row r="47" spans="2:62">
      <c r="G47" s="380">
        <v>18</v>
      </c>
      <c r="H47" s="380"/>
      <c r="I47" s="380"/>
      <c r="N47" s="22"/>
      <c r="O47" s="712">
        <v>34</v>
      </c>
      <c r="P47" s="830"/>
      <c r="Q47" s="830"/>
      <c r="R47" s="830"/>
      <c r="S47" s="830"/>
      <c r="T47" s="830"/>
      <c r="U47" s="830"/>
      <c r="V47" s="830"/>
      <c r="W47" s="830"/>
      <c r="X47" s="712">
        <v>398</v>
      </c>
      <c r="Y47" s="823"/>
      <c r="Z47" s="823"/>
      <c r="AA47" s="823"/>
      <c r="AB47" s="823"/>
      <c r="AC47" s="823"/>
      <c r="AD47" s="823"/>
      <c r="AE47" s="823"/>
      <c r="AF47" s="823"/>
      <c r="AG47" s="712">
        <v>759</v>
      </c>
      <c r="AH47" s="823"/>
      <c r="AI47" s="823"/>
      <c r="AJ47" s="823"/>
      <c r="AK47" s="823"/>
      <c r="AL47" s="823"/>
      <c r="AM47" s="823"/>
      <c r="AN47" s="823"/>
      <c r="AO47" s="823"/>
      <c r="AP47" s="823"/>
      <c r="AQ47" s="712">
        <v>432</v>
      </c>
      <c r="AR47" s="823"/>
      <c r="AS47" s="823"/>
      <c r="AT47" s="823"/>
      <c r="AU47" s="823"/>
      <c r="AV47" s="823"/>
      <c r="AW47" s="823"/>
      <c r="AX47" s="823"/>
      <c r="AY47" s="823"/>
      <c r="AZ47" s="823"/>
      <c r="BA47" s="712">
        <v>327</v>
      </c>
      <c r="BB47" s="823"/>
      <c r="BC47" s="823"/>
      <c r="BD47" s="823"/>
      <c r="BE47" s="823"/>
      <c r="BF47" s="823"/>
      <c r="BG47" s="823"/>
      <c r="BH47" s="823"/>
      <c r="BI47" s="823"/>
      <c r="BJ47" s="823"/>
    </row>
    <row r="48" spans="2:62">
      <c r="G48" s="380">
        <v>19</v>
      </c>
      <c r="H48" s="380"/>
      <c r="I48" s="380"/>
      <c r="N48" s="22"/>
      <c r="O48" s="712">
        <v>34</v>
      </c>
      <c r="P48" s="830"/>
      <c r="Q48" s="830"/>
      <c r="R48" s="830"/>
      <c r="S48" s="830"/>
      <c r="T48" s="830"/>
      <c r="U48" s="830"/>
      <c r="V48" s="830"/>
      <c r="W48" s="830"/>
      <c r="X48" s="712">
        <v>406</v>
      </c>
      <c r="Y48" s="823"/>
      <c r="Z48" s="823"/>
      <c r="AA48" s="823"/>
      <c r="AB48" s="823"/>
      <c r="AC48" s="823"/>
      <c r="AD48" s="823"/>
      <c r="AE48" s="823"/>
      <c r="AF48" s="823"/>
      <c r="AG48" s="712">
        <v>777</v>
      </c>
      <c r="AH48" s="823"/>
      <c r="AI48" s="823"/>
      <c r="AJ48" s="823"/>
      <c r="AK48" s="823"/>
      <c r="AL48" s="823"/>
      <c r="AM48" s="823"/>
      <c r="AN48" s="823"/>
      <c r="AO48" s="823"/>
      <c r="AP48" s="823"/>
      <c r="AQ48" s="712">
        <v>448</v>
      </c>
      <c r="AR48" s="823"/>
      <c r="AS48" s="823"/>
      <c r="AT48" s="823"/>
      <c r="AU48" s="823"/>
      <c r="AV48" s="823"/>
      <c r="AW48" s="823"/>
      <c r="AX48" s="823"/>
      <c r="AY48" s="823"/>
      <c r="AZ48" s="823"/>
      <c r="BA48" s="712">
        <v>329</v>
      </c>
      <c r="BB48" s="823"/>
      <c r="BC48" s="823"/>
      <c r="BD48" s="823"/>
      <c r="BE48" s="823"/>
      <c r="BF48" s="823"/>
      <c r="BG48" s="823"/>
      <c r="BH48" s="823"/>
      <c r="BI48" s="823"/>
      <c r="BJ48" s="823"/>
    </row>
    <row r="49" spans="2:62">
      <c r="G49" s="380">
        <v>20</v>
      </c>
      <c r="H49" s="380"/>
      <c r="I49" s="380"/>
      <c r="N49" s="22"/>
      <c r="O49" s="712">
        <v>34</v>
      </c>
      <c r="P49" s="830"/>
      <c r="Q49" s="830"/>
      <c r="R49" s="830"/>
      <c r="S49" s="830"/>
      <c r="T49" s="830"/>
      <c r="U49" s="830"/>
      <c r="V49" s="830"/>
      <c r="W49" s="830"/>
      <c r="X49" s="712">
        <v>409</v>
      </c>
      <c r="Y49" s="823"/>
      <c r="Z49" s="823"/>
      <c r="AA49" s="823"/>
      <c r="AB49" s="823"/>
      <c r="AC49" s="823"/>
      <c r="AD49" s="823"/>
      <c r="AE49" s="823"/>
      <c r="AF49" s="823"/>
      <c r="AG49" s="712">
        <v>771</v>
      </c>
      <c r="AH49" s="823"/>
      <c r="AI49" s="823"/>
      <c r="AJ49" s="823"/>
      <c r="AK49" s="823"/>
      <c r="AL49" s="823"/>
      <c r="AM49" s="823"/>
      <c r="AN49" s="823"/>
      <c r="AO49" s="823"/>
      <c r="AP49" s="823"/>
      <c r="AQ49" s="712">
        <v>444</v>
      </c>
      <c r="AR49" s="823"/>
      <c r="AS49" s="823"/>
      <c r="AT49" s="823"/>
      <c r="AU49" s="823"/>
      <c r="AV49" s="823"/>
      <c r="AW49" s="823"/>
      <c r="AX49" s="823"/>
      <c r="AY49" s="823"/>
      <c r="AZ49" s="823"/>
      <c r="BA49" s="712">
        <v>327</v>
      </c>
      <c r="BB49" s="823"/>
      <c r="BC49" s="823"/>
      <c r="BD49" s="823"/>
      <c r="BE49" s="823"/>
      <c r="BF49" s="823"/>
      <c r="BG49" s="823"/>
      <c r="BH49" s="823"/>
      <c r="BI49" s="823"/>
      <c r="BJ49" s="823"/>
    </row>
    <row r="50" spans="2:62" ht="8.1" customHeight="1">
      <c r="N50" s="22"/>
      <c r="O50" s="712"/>
      <c r="P50" s="830"/>
      <c r="Q50" s="830"/>
      <c r="R50" s="830"/>
      <c r="S50" s="830"/>
      <c r="T50" s="830"/>
      <c r="U50" s="830"/>
      <c r="V50" s="830"/>
      <c r="W50" s="830"/>
      <c r="X50" s="712"/>
      <c r="Y50" s="823"/>
      <c r="Z50" s="823"/>
      <c r="AA50" s="823"/>
      <c r="AB50" s="823"/>
      <c r="AC50" s="823"/>
      <c r="AD50" s="823"/>
      <c r="AE50" s="823"/>
      <c r="AF50" s="823"/>
      <c r="AG50" s="712"/>
      <c r="AH50" s="823"/>
      <c r="AI50" s="823"/>
      <c r="AJ50" s="823"/>
      <c r="AK50" s="823"/>
      <c r="AL50" s="823"/>
      <c r="AM50" s="823"/>
      <c r="AN50" s="823"/>
      <c r="AO50" s="823"/>
      <c r="AP50" s="823"/>
      <c r="AQ50" s="712"/>
      <c r="AR50" s="823"/>
      <c r="AS50" s="823"/>
      <c r="AT50" s="823"/>
      <c r="AU50" s="823"/>
      <c r="AV50" s="823"/>
      <c r="AW50" s="823"/>
      <c r="AX50" s="823"/>
      <c r="AY50" s="823"/>
      <c r="AZ50" s="823"/>
      <c r="BA50" s="712"/>
      <c r="BB50" s="823"/>
      <c r="BC50" s="823"/>
      <c r="BD50" s="823"/>
      <c r="BE50" s="823"/>
      <c r="BF50" s="823"/>
      <c r="BG50" s="823"/>
      <c r="BH50" s="823"/>
      <c r="BI50" s="823"/>
      <c r="BJ50" s="823"/>
    </row>
    <row r="51" spans="2:62">
      <c r="G51" s="380">
        <v>21</v>
      </c>
      <c r="H51" s="380"/>
      <c r="I51" s="380"/>
      <c r="N51" s="22"/>
      <c r="O51" s="712">
        <v>34</v>
      </c>
      <c r="P51" s="830"/>
      <c r="Q51" s="830"/>
      <c r="R51" s="830"/>
      <c r="S51" s="830"/>
      <c r="T51" s="830"/>
      <c r="U51" s="830"/>
      <c r="V51" s="830"/>
      <c r="W51" s="830"/>
      <c r="X51" s="712">
        <v>416</v>
      </c>
      <c r="Y51" s="823"/>
      <c r="Z51" s="823"/>
      <c r="AA51" s="823"/>
      <c r="AB51" s="823"/>
      <c r="AC51" s="823"/>
      <c r="AD51" s="823"/>
      <c r="AE51" s="823"/>
      <c r="AF51" s="823"/>
      <c r="AG51" s="712">
        <v>780</v>
      </c>
      <c r="AH51" s="823"/>
      <c r="AI51" s="823"/>
      <c r="AJ51" s="823"/>
      <c r="AK51" s="823"/>
      <c r="AL51" s="823"/>
      <c r="AM51" s="823"/>
      <c r="AN51" s="823"/>
      <c r="AO51" s="823"/>
      <c r="AP51" s="823"/>
      <c r="AQ51" s="712">
        <v>447</v>
      </c>
      <c r="AR51" s="823"/>
      <c r="AS51" s="823"/>
      <c r="AT51" s="823"/>
      <c r="AU51" s="823"/>
      <c r="AV51" s="823"/>
      <c r="AW51" s="823"/>
      <c r="AX51" s="823"/>
      <c r="AY51" s="823"/>
      <c r="AZ51" s="823"/>
      <c r="BA51" s="712">
        <v>333</v>
      </c>
      <c r="BB51" s="823"/>
      <c r="BC51" s="823"/>
      <c r="BD51" s="823"/>
      <c r="BE51" s="823"/>
      <c r="BF51" s="823"/>
      <c r="BG51" s="823"/>
      <c r="BH51" s="823"/>
      <c r="BI51" s="823"/>
      <c r="BJ51" s="823"/>
    </row>
    <row r="52" spans="2:62">
      <c r="G52" s="380">
        <v>22</v>
      </c>
      <c r="H52" s="380"/>
      <c r="I52" s="380"/>
      <c r="N52" s="22"/>
      <c r="O52" s="712">
        <v>34</v>
      </c>
      <c r="P52" s="830"/>
      <c r="Q52" s="830"/>
      <c r="R52" s="830"/>
      <c r="S52" s="830"/>
      <c r="T52" s="830"/>
      <c r="U52" s="830"/>
      <c r="V52" s="830"/>
      <c r="W52" s="830"/>
      <c r="X52" s="712">
        <v>412</v>
      </c>
      <c r="Y52" s="823"/>
      <c r="Z52" s="823"/>
      <c r="AA52" s="823"/>
      <c r="AB52" s="823"/>
      <c r="AC52" s="823"/>
      <c r="AD52" s="823"/>
      <c r="AE52" s="823"/>
      <c r="AF52" s="823"/>
      <c r="AG52" s="712">
        <v>781</v>
      </c>
      <c r="AH52" s="823"/>
      <c r="AI52" s="823"/>
      <c r="AJ52" s="823"/>
      <c r="AK52" s="823"/>
      <c r="AL52" s="823"/>
      <c r="AM52" s="823"/>
      <c r="AN52" s="823"/>
      <c r="AO52" s="823"/>
      <c r="AP52" s="823"/>
      <c r="AQ52" s="712">
        <v>449</v>
      </c>
      <c r="AR52" s="823"/>
      <c r="AS52" s="823"/>
      <c r="AT52" s="823"/>
      <c r="AU52" s="823"/>
      <c r="AV52" s="823"/>
      <c r="AW52" s="823"/>
      <c r="AX52" s="823"/>
      <c r="AY52" s="823"/>
      <c r="AZ52" s="823"/>
      <c r="BA52" s="712">
        <v>332</v>
      </c>
      <c r="BB52" s="823"/>
      <c r="BC52" s="823"/>
      <c r="BD52" s="823"/>
      <c r="BE52" s="823"/>
      <c r="BF52" s="823"/>
      <c r="BG52" s="823"/>
      <c r="BH52" s="823"/>
      <c r="BI52" s="823"/>
      <c r="BJ52" s="823"/>
    </row>
    <row r="53" spans="2:62">
      <c r="G53" s="380">
        <v>23</v>
      </c>
      <c r="H53" s="380"/>
      <c r="I53" s="380"/>
      <c r="N53" s="22"/>
      <c r="O53" s="712">
        <v>34</v>
      </c>
      <c r="P53" s="830"/>
      <c r="Q53" s="830"/>
      <c r="R53" s="830"/>
      <c r="S53" s="830"/>
      <c r="T53" s="830"/>
      <c r="U53" s="830"/>
      <c r="V53" s="830"/>
      <c r="W53" s="830"/>
      <c r="X53" s="712">
        <v>420</v>
      </c>
      <c r="Y53" s="823"/>
      <c r="Z53" s="823"/>
      <c r="AA53" s="823"/>
      <c r="AB53" s="823"/>
      <c r="AC53" s="823"/>
      <c r="AD53" s="823"/>
      <c r="AE53" s="823"/>
      <c r="AF53" s="823"/>
      <c r="AG53" s="712">
        <v>800</v>
      </c>
      <c r="AH53" s="823"/>
      <c r="AI53" s="823"/>
      <c r="AJ53" s="823"/>
      <c r="AK53" s="823"/>
      <c r="AL53" s="823"/>
      <c r="AM53" s="823"/>
      <c r="AN53" s="823"/>
      <c r="AO53" s="823"/>
      <c r="AP53" s="823"/>
      <c r="AQ53" s="712">
        <v>464</v>
      </c>
      <c r="AR53" s="823"/>
      <c r="AS53" s="823"/>
      <c r="AT53" s="823"/>
      <c r="AU53" s="823"/>
      <c r="AV53" s="823"/>
      <c r="AW53" s="823"/>
      <c r="AX53" s="823"/>
      <c r="AY53" s="823"/>
      <c r="AZ53" s="823"/>
      <c r="BA53" s="712">
        <v>336</v>
      </c>
      <c r="BB53" s="823"/>
      <c r="BC53" s="823"/>
      <c r="BD53" s="823"/>
      <c r="BE53" s="823"/>
      <c r="BF53" s="823"/>
      <c r="BG53" s="823"/>
      <c r="BH53" s="823"/>
      <c r="BI53" s="823"/>
      <c r="BJ53" s="823"/>
    </row>
    <row r="54" spans="2:62">
      <c r="G54" s="380">
        <v>24</v>
      </c>
      <c r="H54" s="380"/>
      <c r="I54" s="380"/>
      <c r="N54" s="22"/>
      <c r="O54" s="712">
        <v>34</v>
      </c>
      <c r="P54" s="830"/>
      <c r="Q54" s="830"/>
      <c r="R54" s="830"/>
      <c r="S54" s="830"/>
      <c r="T54" s="830"/>
      <c r="U54" s="830"/>
      <c r="V54" s="830"/>
      <c r="W54" s="830"/>
      <c r="X54" s="712">
        <v>424</v>
      </c>
      <c r="Y54" s="823"/>
      <c r="Z54" s="823"/>
      <c r="AA54" s="823"/>
      <c r="AB54" s="823"/>
      <c r="AC54" s="823"/>
      <c r="AD54" s="823"/>
      <c r="AE54" s="823"/>
      <c r="AF54" s="823"/>
      <c r="AG54" s="712">
        <v>819</v>
      </c>
      <c r="AH54" s="823"/>
      <c r="AI54" s="823"/>
      <c r="AJ54" s="823"/>
      <c r="AK54" s="823"/>
      <c r="AL54" s="823"/>
      <c r="AM54" s="823"/>
      <c r="AN54" s="823"/>
      <c r="AO54" s="823"/>
      <c r="AP54" s="823"/>
      <c r="AQ54" s="712">
        <v>470</v>
      </c>
      <c r="AR54" s="823"/>
      <c r="AS54" s="823"/>
      <c r="AT54" s="823"/>
      <c r="AU54" s="823"/>
      <c r="AV54" s="823"/>
      <c r="AW54" s="823"/>
      <c r="AX54" s="823"/>
      <c r="AY54" s="823"/>
      <c r="AZ54" s="823"/>
      <c r="BA54" s="712">
        <v>349</v>
      </c>
      <c r="BB54" s="823"/>
      <c r="BC54" s="823"/>
      <c r="BD54" s="823"/>
      <c r="BE54" s="823"/>
      <c r="BF54" s="823"/>
      <c r="BG54" s="823"/>
      <c r="BH54" s="823"/>
      <c r="BI54" s="823"/>
      <c r="BJ54" s="823"/>
    </row>
    <row r="55" spans="2:62">
      <c r="G55" s="392">
        <v>25</v>
      </c>
      <c r="H55" s="392"/>
      <c r="I55" s="392"/>
      <c r="N55" s="22"/>
      <c r="O55" s="723">
        <v>34</v>
      </c>
      <c r="P55" s="825"/>
      <c r="Q55" s="825"/>
      <c r="R55" s="825"/>
      <c r="S55" s="825"/>
      <c r="T55" s="825"/>
      <c r="U55" s="825"/>
      <c r="V55" s="825"/>
      <c r="W55" s="825"/>
      <c r="X55" s="723">
        <v>432</v>
      </c>
      <c r="Y55" s="825"/>
      <c r="Z55" s="825"/>
      <c r="AA55" s="825"/>
      <c r="AB55" s="825"/>
      <c r="AC55" s="825"/>
      <c r="AD55" s="825"/>
      <c r="AE55" s="825"/>
      <c r="AF55" s="825"/>
      <c r="AG55" s="723">
        <f>SUM(AQ55,BA55)</f>
        <v>833</v>
      </c>
      <c r="AH55" s="825"/>
      <c r="AI55" s="825"/>
      <c r="AJ55" s="825"/>
      <c r="AK55" s="825"/>
      <c r="AL55" s="825"/>
      <c r="AM55" s="825"/>
      <c r="AN55" s="825"/>
      <c r="AO55" s="825"/>
      <c r="AP55" s="825"/>
      <c r="AQ55" s="723">
        <v>470</v>
      </c>
      <c r="AR55" s="825"/>
      <c r="AS55" s="825"/>
      <c r="AT55" s="825"/>
      <c r="AU55" s="825"/>
      <c r="AV55" s="825"/>
      <c r="AW55" s="825"/>
      <c r="AX55" s="825"/>
      <c r="AY55" s="825"/>
      <c r="AZ55" s="825"/>
      <c r="BA55" s="723">
        <v>363</v>
      </c>
      <c r="BB55" s="825"/>
      <c r="BC55" s="825"/>
      <c r="BD55" s="825"/>
      <c r="BE55" s="825"/>
      <c r="BF55" s="825"/>
      <c r="BG55" s="825"/>
      <c r="BH55" s="825"/>
      <c r="BI55" s="825"/>
      <c r="BJ55" s="825"/>
    </row>
    <row r="56" spans="2:62" ht="8.1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2:62" ht="15" customHeight="1">
      <c r="B57" s="411" t="s">
        <v>424</v>
      </c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 t="s">
        <v>687</v>
      </c>
      <c r="P57" s="386"/>
      <c r="Q57" s="386"/>
      <c r="R57" s="386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6"/>
      <c r="AL57" s="386"/>
      <c r="AM57" s="386"/>
      <c r="AN57" s="386"/>
      <c r="AO57" s="386"/>
      <c r="AP57" s="386"/>
      <c r="AQ57" s="386"/>
      <c r="AR57" s="386"/>
      <c r="AS57" s="386"/>
      <c r="AT57" s="386"/>
      <c r="AU57" s="386"/>
      <c r="AV57" s="386"/>
      <c r="AW57" s="386"/>
      <c r="AX57" s="386"/>
      <c r="AY57" s="386"/>
      <c r="AZ57" s="386"/>
      <c r="BA57" s="386"/>
      <c r="BB57" s="386"/>
      <c r="BC57" s="386"/>
      <c r="BD57" s="386"/>
      <c r="BE57" s="413" t="s">
        <v>686</v>
      </c>
      <c r="BF57" s="386"/>
      <c r="BG57" s="386"/>
      <c r="BH57" s="386"/>
      <c r="BI57" s="386"/>
      <c r="BJ57" s="387"/>
    </row>
    <row r="58" spans="2:62" ht="15" customHeight="1">
      <c r="B58" s="412"/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 t="s">
        <v>238</v>
      </c>
      <c r="P58" s="385"/>
      <c r="Q58" s="385"/>
      <c r="R58" s="385"/>
      <c r="S58" s="385"/>
      <c r="T58" s="385"/>
      <c r="U58" s="385"/>
      <c r="V58" s="385" t="s">
        <v>644</v>
      </c>
      <c r="W58" s="385"/>
      <c r="X58" s="385"/>
      <c r="Y58" s="385"/>
      <c r="Z58" s="385"/>
      <c r="AA58" s="385"/>
      <c r="AB58" s="385"/>
      <c r="AC58" s="385" t="s">
        <v>643</v>
      </c>
      <c r="AD58" s="385"/>
      <c r="AE58" s="385"/>
      <c r="AF58" s="385"/>
      <c r="AG58" s="385"/>
      <c r="AH58" s="385"/>
      <c r="AI58" s="385"/>
      <c r="AJ58" s="385" t="s">
        <v>685</v>
      </c>
      <c r="AK58" s="385"/>
      <c r="AL58" s="385"/>
      <c r="AM58" s="385"/>
      <c r="AN58" s="385"/>
      <c r="AO58" s="385"/>
      <c r="AP58" s="385"/>
      <c r="AQ58" s="385" t="s">
        <v>684</v>
      </c>
      <c r="AR58" s="385"/>
      <c r="AS58" s="385"/>
      <c r="AT58" s="385"/>
      <c r="AU58" s="385"/>
      <c r="AV58" s="385"/>
      <c r="AW58" s="385"/>
      <c r="AX58" s="385" t="s">
        <v>683</v>
      </c>
      <c r="AY58" s="385"/>
      <c r="AZ58" s="385"/>
      <c r="BA58" s="385"/>
      <c r="BB58" s="385"/>
      <c r="BC58" s="385"/>
      <c r="BD58" s="385"/>
      <c r="BE58" s="385"/>
      <c r="BF58" s="385"/>
      <c r="BG58" s="385"/>
      <c r="BH58" s="385"/>
      <c r="BI58" s="385"/>
      <c r="BJ58" s="388"/>
    </row>
    <row r="59" spans="2:62" ht="8.1" customHeight="1">
      <c r="N59" s="21"/>
    </row>
    <row r="60" spans="2:62">
      <c r="C60" s="389" t="s">
        <v>7</v>
      </c>
      <c r="D60" s="389"/>
      <c r="E60" s="389"/>
      <c r="F60" s="389"/>
      <c r="G60" s="380">
        <v>16</v>
      </c>
      <c r="H60" s="380"/>
      <c r="I60" s="380"/>
      <c r="J60" s="380" t="s">
        <v>438</v>
      </c>
      <c r="K60" s="380"/>
      <c r="L60" s="380"/>
      <c r="M60" s="380"/>
      <c r="N60" s="22"/>
      <c r="O60" s="832">
        <v>12954</v>
      </c>
      <c r="P60" s="832"/>
      <c r="Q60" s="832"/>
      <c r="R60" s="832"/>
      <c r="S60" s="832"/>
      <c r="T60" s="832"/>
      <c r="U60" s="832"/>
      <c r="V60" s="832">
        <v>6856</v>
      </c>
      <c r="W60" s="832"/>
      <c r="X60" s="832"/>
      <c r="Y60" s="832"/>
      <c r="Z60" s="832"/>
      <c r="AA60" s="832"/>
      <c r="AB60" s="832"/>
      <c r="AC60" s="832">
        <v>6098</v>
      </c>
      <c r="AD60" s="832"/>
      <c r="AE60" s="832"/>
      <c r="AF60" s="832"/>
      <c r="AG60" s="832"/>
      <c r="AH60" s="832"/>
      <c r="AI60" s="832"/>
      <c r="AJ60" s="832">
        <v>4262</v>
      </c>
      <c r="AK60" s="832"/>
      <c r="AL60" s="832"/>
      <c r="AM60" s="832"/>
      <c r="AN60" s="832"/>
      <c r="AO60" s="832"/>
      <c r="AP60" s="832"/>
      <c r="AQ60" s="832">
        <v>4293</v>
      </c>
      <c r="AR60" s="832"/>
      <c r="AS60" s="832"/>
      <c r="AT60" s="832"/>
      <c r="AU60" s="832"/>
      <c r="AV60" s="832"/>
      <c r="AW60" s="832"/>
      <c r="AX60" s="832">
        <v>4399</v>
      </c>
      <c r="AY60" s="832"/>
      <c r="AZ60" s="832"/>
      <c r="BA60" s="832"/>
      <c r="BB60" s="832"/>
      <c r="BC60" s="832"/>
      <c r="BD60" s="832"/>
      <c r="BE60" s="833">
        <v>16.911227153999999</v>
      </c>
      <c r="BF60" s="833"/>
      <c r="BG60" s="833"/>
      <c r="BH60" s="833"/>
      <c r="BI60" s="833"/>
      <c r="BJ60" s="833"/>
    </row>
    <row r="61" spans="2:62">
      <c r="G61" s="380">
        <v>17</v>
      </c>
      <c r="H61" s="380"/>
      <c r="I61" s="380"/>
      <c r="N61" s="22"/>
      <c r="O61" s="832">
        <v>13164</v>
      </c>
      <c r="P61" s="832"/>
      <c r="Q61" s="832"/>
      <c r="R61" s="832"/>
      <c r="S61" s="832"/>
      <c r="T61" s="832"/>
      <c r="U61" s="832"/>
      <c r="V61" s="832">
        <v>6913</v>
      </c>
      <c r="W61" s="832"/>
      <c r="X61" s="832"/>
      <c r="Y61" s="832"/>
      <c r="Z61" s="832"/>
      <c r="AA61" s="832"/>
      <c r="AB61" s="832"/>
      <c r="AC61" s="832">
        <v>6251</v>
      </c>
      <c r="AD61" s="832"/>
      <c r="AE61" s="832"/>
      <c r="AF61" s="832"/>
      <c r="AG61" s="832"/>
      <c r="AH61" s="832"/>
      <c r="AI61" s="832"/>
      <c r="AJ61" s="832">
        <v>4536</v>
      </c>
      <c r="AK61" s="832"/>
      <c r="AL61" s="832"/>
      <c r="AM61" s="832"/>
      <c r="AN61" s="832"/>
      <c r="AO61" s="832"/>
      <c r="AP61" s="832"/>
      <c r="AQ61" s="832">
        <v>4290</v>
      </c>
      <c r="AR61" s="832"/>
      <c r="AS61" s="832"/>
      <c r="AT61" s="832"/>
      <c r="AU61" s="832"/>
      <c r="AV61" s="832"/>
      <c r="AW61" s="832"/>
      <c r="AX61" s="832">
        <v>4338</v>
      </c>
      <c r="AY61" s="832"/>
      <c r="AZ61" s="832"/>
      <c r="BA61" s="832"/>
      <c r="BB61" s="832"/>
      <c r="BC61" s="832"/>
      <c r="BD61" s="832"/>
      <c r="BE61" s="833">
        <v>17.412698412698411</v>
      </c>
      <c r="BF61" s="833"/>
      <c r="BG61" s="833"/>
      <c r="BH61" s="833"/>
      <c r="BI61" s="833"/>
      <c r="BJ61" s="833"/>
    </row>
    <row r="62" spans="2:62">
      <c r="G62" s="380">
        <v>18</v>
      </c>
      <c r="H62" s="380"/>
      <c r="I62" s="380"/>
      <c r="N62" s="22"/>
      <c r="O62" s="832">
        <v>13262</v>
      </c>
      <c r="P62" s="832"/>
      <c r="Q62" s="832"/>
      <c r="R62" s="832"/>
      <c r="S62" s="832"/>
      <c r="T62" s="832"/>
      <c r="U62" s="832"/>
      <c r="V62" s="832">
        <v>6970</v>
      </c>
      <c r="W62" s="832"/>
      <c r="X62" s="832"/>
      <c r="Y62" s="832"/>
      <c r="Z62" s="832"/>
      <c r="AA62" s="832"/>
      <c r="AB62" s="832"/>
      <c r="AC62" s="832">
        <v>6292</v>
      </c>
      <c r="AD62" s="832"/>
      <c r="AE62" s="832"/>
      <c r="AF62" s="832"/>
      <c r="AG62" s="832"/>
      <c r="AH62" s="832"/>
      <c r="AI62" s="832"/>
      <c r="AJ62" s="832">
        <v>4408</v>
      </c>
      <c r="AK62" s="832"/>
      <c r="AL62" s="832"/>
      <c r="AM62" s="832"/>
      <c r="AN62" s="832"/>
      <c r="AO62" s="832"/>
      <c r="AP62" s="832"/>
      <c r="AQ62" s="832">
        <v>4534</v>
      </c>
      <c r="AR62" s="832"/>
      <c r="AS62" s="832"/>
      <c r="AT62" s="832"/>
      <c r="AU62" s="832"/>
      <c r="AV62" s="832"/>
      <c r="AW62" s="832"/>
      <c r="AX62" s="832">
        <v>4320</v>
      </c>
      <c r="AY62" s="832"/>
      <c r="AZ62" s="832"/>
      <c r="BA62" s="832"/>
      <c r="BB62" s="832"/>
      <c r="BC62" s="832"/>
      <c r="BD62" s="832"/>
      <c r="BE62" s="833">
        <v>17.472990777338602</v>
      </c>
      <c r="BF62" s="833"/>
      <c r="BG62" s="833"/>
      <c r="BH62" s="833"/>
      <c r="BI62" s="833"/>
      <c r="BJ62" s="833"/>
    </row>
    <row r="63" spans="2:62">
      <c r="G63" s="380">
        <v>19</v>
      </c>
      <c r="H63" s="380"/>
      <c r="I63" s="380"/>
      <c r="N63" s="22"/>
      <c r="O63" s="832">
        <v>13744</v>
      </c>
      <c r="P63" s="832"/>
      <c r="Q63" s="832"/>
      <c r="R63" s="832"/>
      <c r="S63" s="832"/>
      <c r="T63" s="832"/>
      <c r="U63" s="832"/>
      <c r="V63" s="832">
        <v>7253</v>
      </c>
      <c r="W63" s="832"/>
      <c r="X63" s="832"/>
      <c r="Y63" s="832"/>
      <c r="Z63" s="832"/>
      <c r="AA63" s="832"/>
      <c r="AB63" s="832"/>
      <c r="AC63" s="832">
        <v>6491</v>
      </c>
      <c r="AD63" s="832"/>
      <c r="AE63" s="832"/>
      <c r="AF63" s="832"/>
      <c r="AG63" s="832"/>
      <c r="AH63" s="832"/>
      <c r="AI63" s="832"/>
      <c r="AJ63" s="832">
        <v>4748</v>
      </c>
      <c r="AK63" s="832"/>
      <c r="AL63" s="832"/>
      <c r="AM63" s="832"/>
      <c r="AN63" s="832"/>
      <c r="AO63" s="832"/>
      <c r="AP63" s="832"/>
      <c r="AQ63" s="832">
        <v>4422</v>
      </c>
      <c r="AR63" s="832"/>
      <c r="AS63" s="832"/>
      <c r="AT63" s="832"/>
      <c r="AU63" s="832"/>
      <c r="AV63" s="832"/>
      <c r="AW63" s="832"/>
      <c r="AX63" s="832">
        <v>4574</v>
      </c>
      <c r="AY63" s="832"/>
      <c r="AZ63" s="832"/>
      <c r="BA63" s="832"/>
      <c r="BB63" s="832"/>
      <c r="BC63" s="832"/>
      <c r="BD63" s="832"/>
      <c r="BE63" s="833">
        <v>17.688545688545688</v>
      </c>
      <c r="BF63" s="833"/>
      <c r="BG63" s="833"/>
      <c r="BH63" s="833"/>
      <c r="BI63" s="833"/>
      <c r="BJ63" s="833"/>
    </row>
    <row r="64" spans="2:62">
      <c r="G64" s="380">
        <v>20</v>
      </c>
      <c r="H64" s="380"/>
      <c r="I64" s="380"/>
      <c r="N64" s="22"/>
      <c r="O64" s="832">
        <v>13727</v>
      </c>
      <c r="P64" s="832"/>
      <c r="Q64" s="832"/>
      <c r="R64" s="832"/>
      <c r="S64" s="832"/>
      <c r="T64" s="832"/>
      <c r="U64" s="832"/>
      <c r="V64" s="832">
        <v>7375</v>
      </c>
      <c r="W64" s="832"/>
      <c r="X64" s="832"/>
      <c r="Y64" s="832"/>
      <c r="Z64" s="832"/>
      <c r="AA64" s="832"/>
      <c r="AB64" s="832"/>
      <c r="AC64" s="832">
        <v>6352</v>
      </c>
      <c r="AD64" s="832"/>
      <c r="AE64" s="832"/>
      <c r="AF64" s="832"/>
      <c r="AG64" s="832"/>
      <c r="AH64" s="832"/>
      <c r="AI64" s="832"/>
      <c r="AJ64" s="832">
        <v>4487</v>
      </c>
      <c r="AK64" s="832"/>
      <c r="AL64" s="832"/>
      <c r="AM64" s="832"/>
      <c r="AN64" s="832"/>
      <c r="AO64" s="832"/>
      <c r="AP64" s="832"/>
      <c r="AQ64" s="832">
        <v>4768</v>
      </c>
      <c r="AR64" s="832"/>
      <c r="AS64" s="832"/>
      <c r="AT64" s="832"/>
      <c r="AU64" s="832"/>
      <c r="AV64" s="832"/>
      <c r="AW64" s="832"/>
      <c r="AX64" s="832">
        <v>4472</v>
      </c>
      <c r="AY64" s="832"/>
      <c r="AZ64" s="832"/>
      <c r="BA64" s="832"/>
      <c r="BB64" s="832"/>
      <c r="BC64" s="832"/>
      <c r="BD64" s="832"/>
      <c r="BE64" s="833">
        <v>17.804150453955902</v>
      </c>
      <c r="BF64" s="833"/>
      <c r="BG64" s="833"/>
      <c r="BH64" s="833"/>
      <c r="BI64" s="833"/>
      <c r="BJ64" s="833"/>
    </row>
    <row r="65" spans="2:62" ht="8.1" customHeight="1">
      <c r="N65" s="22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345"/>
      <c r="AO65" s="345"/>
      <c r="AP65" s="345"/>
      <c r="AQ65" s="345"/>
      <c r="AR65" s="345"/>
      <c r="AS65" s="345"/>
      <c r="AT65" s="345"/>
      <c r="AU65" s="345"/>
      <c r="AV65" s="345"/>
      <c r="AW65" s="345"/>
      <c r="AX65" s="345"/>
      <c r="AY65" s="345"/>
      <c r="AZ65" s="345"/>
      <c r="BA65" s="345"/>
      <c r="BB65" s="345"/>
      <c r="BC65" s="345"/>
      <c r="BD65" s="345"/>
      <c r="BE65" s="344"/>
      <c r="BF65" s="344"/>
      <c r="BG65" s="344"/>
      <c r="BH65" s="344"/>
      <c r="BI65" s="344"/>
      <c r="BJ65" s="344"/>
    </row>
    <row r="66" spans="2:62">
      <c r="G66" s="380">
        <v>21</v>
      </c>
      <c r="H66" s="380"/>
      <c r="I66" s="380"/>
      <c r="N66" s="22"/>
      <c r="O66" s="832">
        <v>14000</v>
      </c>
      <c r="P66" s="832"/>
      <c r="Q66" s="832"/>
      <c r="R66" s="832"/>
      <c r="S66" s="832"/>
      <c r="T66" s="832"/>
      <c r="U66" s="832"/>
      <c r="V66" s="832">
        <v>7478</v>
      </c>
      <c r="W66" s="832"/>
      <c r="X66" s="832"/>
      <c r="Y66" s="832"/>
      <c r="Z66" s="832"/>
      <c r="AA66" s="832"/>
      <c r="AB66" s="832"/>
      <c r="AC66" s="832">
        <v>6522</v>
      </c>
      <c r="AD66" s="832"/>
      <c r="AE66" s="832"/>
      <c r="AF66" s="832"/>
      <c r="AG66" s="832"/>
      <c r="AH66" s="832"/>
      <c r="AI66" s="832"/>
      <c r="AJ66" s="832">
        <v>4686</v>
      </c>
      <c r="AK66" s="832"/>
      <c r="AL66" s="832"/>
      <c r="AM66" s="832"/>
      <c r="AN66" s="832"/>
      <c r="AO66" s="832"/>
      <c r="AP66" s="832"/>
      <c r="AQ66" s="832">
        <v>4507</v>
      </c>
      <c r="AR66" s="832"/>
      <c r="AS66" s="832"/>
      <c r="AT66" s="832"/>
      <c r="AU66" s="832"/>
      <c r="AV66" s="832"/>
      <c r="AW66" s="832"/>
      <c r="AX66" s="832">
        <v>4807</v>
      </c>
      <c r="AY66" s="832"/>
      <c r="AZ66" s="832"/>
      <c r="BA66" s="832"/>
      <c r="BB66" s="832"/>
      <c r="BC66" s="832"/>
      <c r="BD66" s="832"/>
      <c r="BE66" s="833">
        <v>17.948717948717949</v>
      </c>
      <c r="BF66" s="833"/>
      <c r="BG66" s="833"/>
      <c r="BH66" s="833"/>
      <c r="BI66" s="833"/>
      <c r="BJ66" s="833"/>
    </row>
    <row r="67" spans="2:62">
      <c r="G67" s="380">
        <v>22</v>
      </c>
      <c r="H67" s="380"/>
      <c r="I67" s="380"/>
      <c r="N67" s="22"/>
      <c r="O67" s="832">
        <v>13788</v>
      </c>
      <c r="P67" s="832"/>
      <c r="Q67" s="832"/>
      <c r="R67" s="832"/>
      <c r="S67" s="832"/>
      <c r="T67" s="832"/>
      <c r="U67" s="832"/>
      <c r="V67" s="832">
        <v>7371</v>
      </c>
      <c r="W67" s="832"/>
      <c r="X67" s="832"/>
      <c r="Y67" s="832"/>
      <c r="Z67" s="832"/>
      <c r="AA67" s="832"/>
      <c r="AB67" s="832"/>
      <c r="AC67" s="832">
        <v>6417</v>
      </c>
      <c r="AD67" s="832"/>
      <c r="AE67" s="832"/>
      <c r="AF67" s="832"/>
      <c r="AG67" s="832"/>
      <c r="AH67" s="832"/>
      <c r="AI67" s="832"/>
      <c r="AJ67" s="832">
        <v>4556</v>
      </c>
      <c r="AK67" s="832"/>
      <c r="AL67" s="832"/>
      <c r="AM67" s="832"/>
      <c r="AN67" s="832"/>
      <c r="AO67" s="832"/>
      <c r="AP67" s="832"/>
      <c r="AQ67" s="832">
        <v>4704</v>
      </c>
      <c r="AR67" s="832"/>
      <c r="AS67" s="832"/>
      <c r="AT67" s="832"/>
      <c r="AU67" s="832"/>
      <c r="AV67" s="832"/>
      <c r="AW67" s="832"/>
      <c r="AX67" s="832">
        <v>4528</v>
      </c>
      <c r="AY67" s="832"/>
      <c r="AZ67" s="832"/>
      <c r="BA67" s="832"/>
      <c r="BB67" s="832"/>
      <c r="BC67" s="832"/>
      <c r="BD67" s="832"/>
      <c r="BE67" s="833">
        <v>17.65428937259923</v>
      </c>
      <c r="BF67" s="833"/>
      <c r="BG67" s="833"/>
      <c r="BH67" s="833"/>
      <c r="BI67" s="833"/>
      <c r="BJ67" s="833"/>
    </row>
    <row r="68" spans="2:62">
      <c r="G68" s="380">
        <v>23</v>
      </c>
      <c r="H68" s="380"/>
      <c r="I68" s="380"/>
      <c r="N68" s="22"/>
      <c r="O68" s="832">
        <v>14086</v>
      </c>
      <c r="P68" s="832"/>
      <c r="Q68" s="832"/>
      <c r="R68" s="832"/>
      <c r="S68" s="832"/>
      <c r="T68" s="832"/>
      <c r="U68" s="832"/>
      <c r="V68" s="832">
        <v>7412</v>
      </c>
      <c r="W68" s="832"/>
      <c r="X68" s="832"/>
      <c r="Y68" s="832"/>
      <c r="Z68" s="832"/>
      <c r="AA68" s="832"/>
      <c r="AB68" s="832"/>
      <c r="AC68" s="832">
        <v>6674</v>
      </c>
      <c r="AD68" s="832"/>
      <c r="AE68" s="832"/>
      <c r="AF68" s="832"/>
      <c r="AG68" s="832"/>
      <c r="AH68" s="832"/>
      <c r="AI68" s="832"/>
      <c r="AJ68" s="832">
        <v>4790</v>
      </c>
      <c r="AK68" s="832"/>
      <c r="AL68" s="832"/>
      <c r="AM68" s="832"/>
      <c r="AN68" s="832"/>
      <c r="AO68" s="832"/>
      <c r="AP68" s="832"/>
      <c r="AQ68" s="832">
        <v>4575</v>
      </c>
      <c r="AR68" s="832"/>
      <c r="AS68" s="832"/>
      <c r="AT68" s="832"/>
      <c r="AU68" s="832"/>
      <c r="AV68" s="832"/>
      <c r="AW68" s="832"/>
      <c r="AX68" s="832">
        <v>4721</v>
      </c>
      <c r="AY68" s="832"/>
      <c r="AZ68" s="832"/>
      <c r="BA68" s="832"/>
      <c r="BB68" s="832"/>
      <c r="BC68" s="832"/>
      <c r="BD68" s="832"/>
      <c r="BE68" s="833">
        <v>17.600000000000001</v>
      </c>
      <c r="BF68" s="833"/>
      <c r="BG68" s="833"/>
      <c r="BH68" s="833"/>
      <c r="BI68" s="833"/>
      <c r="BJ68" s="833"/>
    </row>
    <row r="69" spans="2:62">
      <c r="G69" s="380">
        <v>24</v>
      </c>
      <c r="H69" s="380"/>
      <c r="I69" s="380"/>
      <c r="N69" s="22"/>
      <c r="O69" s="832">
        <v>14047</v>
      </c>
      <c r="P69" s="832"/>
      <c r="Q69" s="832"/>
      <c r="R69" s="832"/>
      <c r="S69" s="832"/>
      <c r="T69" s="832"/>
      <c r="U69" s="832"/>
      <c r="V69" s="832">
        <v>7452</v>
      </c>
      <c r="W69" s="832"/>
      <c r="X69" s="832"/>
      <c r="Y69" s="832"/>
      <c r="Z69" s="832"/>
      <c r="AA69" s="832"/>
      <c r="AB69" s="832"/>
      <c r="AC69" s="832">
        <v>6595</v>
      </c>
      <c r="AD69" s="832"/>
      <c r="AE69" s="832"/>
      <c r="AF69" s="832"/>
      <c r="AG69" s="832"/>
      <c r="AH69" s="832"/>
      <c r="AI69" s="832"/>
      <c r="AJ69" s="832">
        <v>4647</v>
      </c>
      <c r="AK69" s="832"/>
      <c r="AL69" s="832"/>
      <c r="AM69" s="832"/>
      <c r="AN69" s="832"/>
      <c r="AO69" s="832"/>
      <c r="AP69" s="832"/>
      <c r="AQ69" s="832">
        <v>4816</v>
      </c>
      <c r="AR69" s="832"/>
      <c r="AS69" s="832"/>
      <c r="AT69" s="832"/>
      <c r="AU69" s="832"/>
      <c r="AV69" s="832"/>
      <c r="AW69" s="832"/>
      <c r="AX69" s="832">
        <v>4584</v>
      </c>
      <c r="AY69" s="832"/>
      <c r="AZ69" s="832"/>
      <c r="BA69" s="832"/>
      <c r="BB69" s="832"/>
      <c r="BC69" s="832"/>
      <c r="BD69" s="832"/>
      <c r="BE69" s="833">
        <v>17.151404151404151</v>
      </c>
      <c r="BF69" s="833"/>
      <c r="BG69" s="833"/>
      <c r="BH69" s="833"/>
      <c r="BI69" s="833"/>
      <c r="BJ69" s="833"/>
    </row>
    <row r="70" spans="2:62">
      <c r="G70" s="392">
        <v>25</v>
      </c>
      <c r="H70" s="392"/>
      <c r="I70" s="392"/>
      <c r="N70" s="22"/>
      <c r="O70" s="405">
        <f>SUM(AJ70,AQ70,AX70)</f>
        <v>14279</v>
      </c>
      <c r="P70" s="405"/>
      <c r="Q70" s="405"/>
      <c r="R70" s="405"/>
      <c r="S70" s="405"/>
      <c r="T70" s="405"/>
      <c r="U70" s="405"/>
      <c r="V70" s="831">
        <v>7498</v>
      </c>
      <c r="W70" s="831"/>
      <c r="X70" s="831"/>
      <c r="Y70" s="831"/>
      <c r="Z70" s="831"/>
      <c r="AA70" s="831"/>
      <c r="AB70" s="831"/>
      <c r="AC70" s="831">
        <v>6781</v>
      </c>
      <c r="AD70" s="831"/>
      <c r="AE70" s="831"/>
      <c r="AF70" s="831"/>
      <c r="AG70" s="831"/>
      <c r="AH70" s="831"/>
      <c r="AI70" s="831"/>
      <c r="AJ70" s="831">
        <v>4767</v>
      </c>
      <c r="AK70" s="831"/>
      <c r="AL70" s="831"/>
      <c r="AM70" s="831"/>
      <c r="AN70" s="831"/>
      <c r="AO70" s="831"/>
      <c r="AP70" s="831"/>
      <c r="AQ70" s="831">
        <v>4657</v>
      </c>
      <c r="AR70" s="831"/>
      <c r="AS70" s="831"/>
      <c r="AT70" s="831"/>
      <c r="AU70" s="831"/>
      <c r="AV70" s="831"/>
      <c r="AW70" s="831"/>
      <c r="AX70" s="831">
        <v>4855</v>
      </c>
      <c r="AY70" s="831"/>
      <c r="AZ70" s="831"/>
      <c r="BA70" s="831"/>
      <c r="BB70" s="831"/>
      <c r="BC70" s="831"/>
      <c r="BD70" s="831"/>
      <c r="BE70" s="834">
        <f>O70/AG55</f>
        <v>17.141656662665067</v>
      </c>
      <c r="BF70" s="834"/>
      <c r="BG70" s="834"/>
      <c r="BH70" s="834"/>
      <c r="BI70" s="834"/>
      <c r="BJ70" s="834"/>
    </row>
    <row r="71" spans="2:62" ht="8.1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2:62">
      <c r="C72" s="400" t="s">
        <v>8</v>
      </c>
      <c r="D72" s="400"/>
      <c r="E72" s="297" t="s">
        <v>681</v>
      </c>
      <c r="F72" s="2" t="s">
        <v>682</v>
      </c>
    </row>
    <row r="73" spans="2:62">
      <c r="B73" s="404" t="s">
        <v>9</v>
      </c>
      <c r="C73" s="404"/>
      <c r="D73" s="404"/>
      <c r="E73" s="297" t="s">
        <v>681</v>
      </c>
      <c r="F73" s="162" t="s">
        <v>680</v>
      </c>
    </row>
  </sheetData>
  <mergeCells count="368">
    <mergeCell ref="B4:BJ4"/>
    <mergeCell ref="B6:N7"/>
    <mergeCell ref="O6:T7"/>
    <mergeCell ref="U6:Z7"/>
    <mergeCell ref="AA7:AF7"/>
    <mergeCell ref="AG7:AL7"/>
    <mergeCell ref="AM7:AR7"/>
    <mergeCell ref="AA6:AR6"/>
    <mergeCell ref="AS6:BJ6"/>
    <mergeCell ref="AS7:AX7"/>
    <mergeCell ref="AY7:BD7"/>
    <mergeCell ref="BE7:BJ7"/>
    <mergeCell ref="C9:F9"/>
    <mergeCell ref="J9:M9"/>
    <mergeCell ref="G9:I9"/>
    <mergeCell ref="G10:I10"/>
    <mergeCell ref="AS9:AX9"/>
    <mergeCell ref="AY9:BD9"/>
    <mergeCell ref="BE9:BJ9"/>
    <mergeCell ref="AS10:AX10"/>
    <mergeCell ref="U9:Z9"/>
    <mergeCell ref="AA9:AF9"/>
    <mergeCell ref="AG9:AL9"/>
    <mergeCell ref="AM9:AR9"/>
    <mergeCell ref="U10:Z10"/>
    <mergeCell ref="AA10:AF10"/>
    <mergeCell ref="AG10:AL10"/>
    <mergeCell ref="AM10:AR10"/>
    <mergeCell ref="G12:I12"/>
    <mergeCell ref="AY10:BD10"/>
    <mergeCell ref="BE10:BJ10"/>
    <mergeCell ref="BE11:BJ11"/>
    <mergeCell ref="BE12:BJ12"/>
    <mergeCell ref="U11:Z11"/>
    <mergeCell ref="AA11:AF11"/>
    <mergeCell ref="AG11:AL11"/>
    <mergeCell ref="AM11:AR11"/>
    <mergeCell ref="AS11:AX11"/>
    <mergeCell ref="AY11:BD11"/>
    <mergeCell ref="G13:I13"/>
    <mergeCell ref="G15:I15"/>
    <mergeCell ref="G16:I16"/>
    <mergeCell ref="G17:I17"/>
    <mergeCell ref="O18:T18"/>
    <mergeCell ref="O19:T19"/>
    <mergeCell ref="G19:I19"/>
    <mergeCell ref="O9:T9"/>
    <mergeCell ref="O10:T10"/>
    <mergeCell ref="O11:T11"/>
    <mergeCell ref="O12:T12"/>
    <mergeCell ref="O13:T13"/>
    <mergeCell ref="O15:T15"/>
    <mergeCell ref="O16:T16"/>
    <mergeCell ref="O17:T17"/>
    <mergeCell ref="G11:I11"/>
    <mergeCell ref="G18:I18"/>
    <mergeCell ref="BE13:BJ13"/>
    <mergeCell ref="U12:Z12"/>
    <mergeCell ref="AA12:AF12"/>
    <mergeCell ref="AY16:BD16"/>
    <mergeCell ref="BE16:BJ16"/>
    <mergeCell ref="U15:Z15"/>
    <mergeCell ref="AA15:AF15"/>
    <mergeCell ref="AG15:AL15"/>
    <mergeCell ref="AM15:AR15"/>
    <mergeCell ref="AS15:AX15"/>
    <mergeCell ref="AG12:AL12"/>
    <mergeCell ref="AM12:AR12"/>
    <mergeCell ref="AS12:AX12"/>
    <mergeCell ref="AY12:BD12"/>
    <mergeCell ref="U16:Z16"/>
    <mergeCell ref="AA16:AF16"/>
    <mergeCell ref="AG16:AL16"/>
    <mergeCell ref="AM16:AR16"/>
    <mergeCell ref="AS16:AX16"/>
    <mergeCell ref="U13:Z13"/>
    <mergeCell ref="AA13:AF13"/>
    <mergeCell ref="AG13:AL13"/>
    <mergeCell ref="AM13:AR13"/>
    <mergeCell ref="AS13:AX13"/>
    <mergeCell ref="AY13:BD13"/>
    <mergeCell ref="U19:Z19"/>
    <mergeCell ref="AA19:AF19"/>
    <mergeCell ref="AG19:AL19"/>
    <mergeCell ref="AM19:AR19"/>
    <mergeCell ref="AS19:AX19"/>
    <mergeCell ref="AY19:BD19"/>
    <mergeCell ref="BE19:BJ19"/>
    <mergeCell ref="BE17:BJ17"/>
    <mergeCell ref="AY15:BD15"/>
    <mergeCell ref="AG17:AL17"/>
    <mergeCell ref="AM17:AR17"/>
    <mergeCell ref="AS17:AX17"/>
    <mergeCell ref="AY17:BD17"/>
    <mergeCell ref="BE15:BJ15"/>
    <mergeCell ref="U18:Z18"/>
    <mergeCell ref="AA18:AF18"/>
    <mergeCell ref="AG18:AL18"/>
    <mergeCell ref="AM18:AR18"/>
    <mergeCell ref="AS18:AX18"/>
    <mergeCell ref="AY18:BD18"/>
    <mergeCell ref="BE18:BJ18"/>
    <mergeCell ref="U17:Z17"/>
    <mergeCell ref="AA17:AF17"/>
    <mergeCell ref="BE21:BJ22"/>
    <mergeCell ref="O21:BD21"/>
    <mergeCell ref="G26:I26"/>
    <mergeCell ref="G27:I27"/>
    <mergeCell ref="V22:AB22"/>
    <mergeCell ref="AC22:AI22"/>
    <mergeCell ref="AJ22:AP22"/>
    <mergeCell ref="B21:N22"/>
    <mergeCell ref="C24:F24"/>
    <mergeCell ref="G24:I24"/>
    <mergeCell ref="O22:U22"/>
    <mergeCell ref="O24:U24"/>
    <mergeCell ref="O25:U25"/>
    <mergeCell ref="O26:U26"/>
    <mergeCell ref="O27:U27"/>
    <mergeCell ref="AX22:BD22"/>
    <mergeCell ref="V27:AB27"/>
    <mergeCell ref="AC27:AI27"/>
    <mergeCell ref="AJ27:AP27"/>
    <mergeCell ref="AQ27:AW27"/>
    <mergeCell ref="G30:I30"/>
    <mergeCell ref="G31:I31"/>
    <mergeCell ref="G32:I32"/>
    <mergeCell ref="G33:I33"/>
    <mergeCell ref="G34:I34"/>
    <mergeCell ref="G28:I28"/>
    <mergeCell ref="J24:M24"/>
    <mergeCell ref="G25:I25"/>
    <mergeCell ref="AQ22:AW22"/>
    <mergeCell ref="V24:AB24"/>
    <mergeCell ref="AC24:AI24"/>
    <mergeCell ref="AJ24:AP24"/>
    <mergeCell ref="AQ24:AW24"/>
    <mergeCell ref="AC25:AI25"/>
    <mergeCell ref="AX27:BD27"/>
    <mergeCell ref="AX24:BD24"/>
    <mergeCell ref="V25:AB25"/>
    <mergeCell ref="AJ25:AP25"/>
    <mergeCell ref="AQ25:AW25"/>
    <mergeCell ref="AX25:BD25"/>
    <mergeCell ref="BE24:BJ24"/>
    <mergeCell ref="BE25:BJ25"/>
    <mergeCell ref="BE26:BJ26"/>
    <mergeCell ref="BE27:BJ27"/>
    <mergeCell ref="V26:AB26"/>
    <mergeCell ref="AC26:AI26"/>
    <mergeCell ref="AJ26:AP26"/>
    <mergeCell ref="AQ26:AW26"/>
    <mergeCell ref="AX26:BD26"/>
    <mergeCell ref="AX28:BD28"/>
    <mergeCell ref="BE30:BJ30"/>
    <mergeCell ref="BE31:BJ31"/>
    <mergeCell ref="BE32:BJ32"/>
    <mergeCell ref="O33:U33"/>
    <mergeCell ref="V33:AB33"/>
    <mergeCell ref="AC33:AI33"/>
    <mergeCell ref="AJ33:AP33"/>
    <mergeCell ref="AQ33:AW33"/>
    <mergeCell ref="AX33:BD33"/>
    <mergeCell ref="BE28:BJ28"/>
    <mergeCell ref="O28:U28"/>
    <mergeCell ref="AJ31:AP31"/>
    <mergeCell ref="AQ31:AW31"/>
    <mergeCell ref="V28:AB28"/>
    <mergeCell ref="AC28:AI28"/>
    <mergeCell ref="AJ28:AP28"/>
    <mergeCell ref="AQ28:AW28"/>
    <mergeCell ref="O31:U31"/>
    <mergeCell ref="V31:AB31"/>
    <mergeCell ref="AC30:AI30"/>
    <mergeCell ref="AJ30:AP30"/>
    <mergeCell ref="AQ30:AW30"/>
    <mergeCell ref="BE33:BJ33"/>
    <mergeCell ref="AX31:BD31"/>
    <mergeCell ref="AC32:AI32"/>
    <mergeCell ref="AJ32:AP32"/>
    <mergeCell ref="AQ32:AW32"/>
    <mergeCell ref="AX32:BD32"/>
    <mergeCell ref="AC31:AI31"/>
    <mergeCell ref="G53:I53"/>
    <mergeCell ref="G54:I54"/>
    <mergeCell ref="F37:G37"/>
    <mergeCell ref="F36:G36"/>
    <mergeCell ref="G55:I55"/>
    <mergeCell ref="B57:N58"/>
    <mergeCell ref="C60:F60"/>
    <mergeCell ref="G60:I60"/>
    <mergeCell ref="J60:M60"/>
    <mergeCell ref="B42:N43"/>
    <mergeCell ref="C36:D36"/>
    <mergeCell ref="B38:D38"/>
    <mergeCell ref="B40:BJ40"/>
    <mergeCell ref="G64:I64"/>
    <mergeCell ref="G66:I66"/>
    <mergeCell ref="G67:I67"/>
    <mergeCell ref="G68:I68"/>
    <mergeCell ref="G69:I69"/>
    <mergeCell ref="G70:I70"/>
    <mergeCell ref="C72:D72"/>
    <mergeCell ref="B73:D73"/>
    <mergeCell ref="O57:BD57"/>
    <mergeCell ref="O58:U58"/>
    <mergeCell ref="V58:AB58"/>
    <mergeCell ref="AC58:AI58"/>
    <mergeCell ref="AJ58:AP58"/>
    <mergeCell ref="G61:I61"/>
    <mergeCell ref="O61:U61"/>
    <mergeCell ref="V61:AB61"/>
    <mergeCell ref="AC61:AI61"/>
    <mergeCell ref="AJ61:AP61"/>
    <mergeCell ref="AQ61:AW61"/>
    <mergeCell ref="AX61:BD61"/>
    <mergeCell ref="BE61:BJ61"/>
    <mergeCell ref="G62:I62"/>
    <mergeCell ref="G63:I63"/>
    <mergeCell ref="AQ58:AW58"/>
    <mergeCell ref="AX58:BD58"/>
    <mergeCell ref="O60:U60"/>
    <mergeCell ref="V60:AB60"/>
    <mergeCell ref="AC60:AI60"/>
    <mergeCell ref="AJ60:AP60"/>
    <mergeCell ref="AQ60:AW60"/>
    <mergeCell ref="AX60:BD60"/>
    <mergeCell ref="BE60:BJ60"/>
    <mergeCell ref="BE57:BJ58"/>
    <mergeCell ref="BE62:BJ62"/>
    <mergeCell ref="O63:U63"/>
    <mergeCell ref="V63:AB63"/>
    <mergeCell ref="AC63:AI63"/>
    <mergeCell ref="AJ63:AP63"/>
    <mergeCell ref="AQ63:AW63"/>
    <mergeCell ref="AX63:BD63"/>
    <mergeCell ref="BE63:BJ63"/>
    <mergeCell ref="O62:U62"/>
    <mergeCell ref="V62:AB62"/>
    <mergeCell ref="O66:U66"/>
    <mergeCell ref="V66:AB66"/>
    <mergeCell ref="AC66:AI66"/>
    <mergeCell ref="AJ66:AP66"/>
    <mergeCell ref="AQ66:AW66"/>
    <mergeCell ref="AX66:BD66"/>
    <mergeCell ref="BE66:BJ66"/>
    <mergeCell ref="O64:U64"/>
    <mergeCell ref="V64:AB64"/>
    <mergeCell ref="O70:U70"/>
    <mergeCell ref="V70:AB70"/>
    <mergeCell ref="AC70:AI70"/>
    <mergeCell ref="AJ70:AP70"/>
    <mergeCell ref="AQ70:AW70"/>
    <mergeCell ref="AX70:BD70"/>
    <mergeCell ref="BE70:BJ70"/>
    <mergeCell ref="O69:U69"/>
    <mergeCell ref="V69:AB69"/>
    <mergeCell ref="AC69:AI69"/>
    <mergeCell ref="AJ69:AP69"/>
    <mergeCell ref="AQ69:AW69"/>
    <mergeCell ref="AX69:BD69"/>
    <mergeCell ref="BE67:BJ67"/>
    <mergeCell ref="O68:U68"/>
    <mergeCell ref="V68:AB68"/>
    <mergeCell ref="AC68:AI68"/>
    <mergeCell ref="AJ68:AP68"/>
    <mergeCell ref="AQ68:AW68"/>
    <mergeCell ref="BE69:BJ69"/>
    <mergeCell ref="O67:U67"/>
    <mergeCell ref="V67:AB67"/>
    <mergeCell ref="AC67:AI67"/>
    <mergeCell ref="AJ67:AP67"/>
    <mergeCell ref="AQ67:AW67"/>
    <mergeCell ref="AX67:BD67"/>
    <mergeCell ref="AX68:BD68"/>
    <mergeCell ref="BE68:BJ68"/>
    <mergeCell ref="BA48:BJ48"/>
    <mergeCell ref="AQ49:AZ49"/>
    <mergeCell ref="AG51:AP51"/>
    <mergeCell ref="AG52:AP52"/>
    <mergeCell ref="AG53:AP53"/>
    <mergeCell ref="AG54:AP54"/>
    <mergeCell ref="AQ55:AZ55"/>
    <mergeCell ref="BA55:BJ55"/>
    <mergeCell ref="AC64:AI64"/>
    <mergeCell ref="AJ64:AP64"/>
    <mergeCell ref="AQ64:AW64"/>
    <mergeCell ref="AX64:BD64"/>
    <mergeCell ref="AG55:AP55"/>
    <mergeCell ref="X55:AF55"/>
    <mergeCell ref="BA49:BJ49"/>
    <mergeCell ref="AQ51:AZ51"/>
    <mergeCell ref="BA51:BJ51"/>
    <mergeCell ref="BE64:BJ64"/>
    <mergeCell ref="AC62:AI62"/>
    <mergeCell ref="AJ62:AP62"/>
    <mergeCell ref="AQ62:AW62"/>
    <mergeCell ref="AX62:BD62"/>
    <mergeCell ref="O55:W55"/>
    <mergeCell ref="X45:AF45"/>
    <mergeCell ref="X46:AF46"/>
    <mergeCell ref="X47:AF47"/>
    <mergeCell ref="X48:AF48"/>
    <mergeCell ref="X49:AF49"/>
    <mergeCell ref="X51:AF51"/>
    <mergeCell ref="X52:AF52"/>
    <mergeCell ref="X53:AF53"/>
    <mergeCell ref="X54:AF54"/>
    <mergeCell ref="AQ53:AZ53"/>
    <mergeCell ref="BA53:BJ53"/>
    <mergeCell ref="AQ54:AZ54"/>
    <mergeCell ref="BA54:BJ54"/>
    <mergeCell ref="O52:W52"/>
    <mergeCell ref="O53:W53"/>
    <mergeCell ref="O54:W54"/>
    <mergeCell ref="O50:W50"/>
    <mergeCell ref="O45:W45"/>
    <mergeCell ref="O46:W46"/>
    <mergeCell ref="O47:W47"/>
    <mergeCell ref="AG45:AP45"/>
    <mergeCell ref="AG48:AP48"/>
    <mergeCell ref="AG49:AP49"/>
    <mergeCell ref="A1:S2"/>
    <mergeCell ref="X50:AF50"/>
    <mergeCell ref="AG50:AP50"/>
    <mergeCell ref="AG42:BJ42"/>
    <mergeCell ref="AQ34:AW34"/>
    <mergeCell ref="AX34:BD34"/>
    <mergeCell ref="AQ52:AZ52"/>
    <mergeCell ref="BA52:BJ52"/>
    <mergeCell ref="G48:I48"/>
    <mergeCell ref="G49:I49"/>
    <mergeCell ref="G51:I51"/>
    <mergeCell ref="G52:I52"/>
    <mergeCell ref="BE34:BJ34"/>
    <mergeCell ref="O32:U32"/>
    <mergeCell ref="V32:AB32"/>
    <mergeCell ref="O34:U34"/>
    <mergeCell ref="V34:AB34"/>
    <mergeCell ref="AC34:AI34"/>
    <mergeCell ref="AJ34:AP34"/>
    <mergeCell ref="AX30:BD30"/>
    <mergeCell ref="O30:U30"/>
    <mergeCell ref="V30:AB30"/>
    <mergeCell ref="O42:W43"/>
    <mergeCell ref="X42:AF43"/>
    <mergeCell ref="BA46:BJ46"/>
    <mergeCell ref="AQ47:AZ47"/>
    <mergeCell ref="BA47:BJ47"/>
    <mergeCell ref="AQ48:AZ48"/>
    <mergeCell ref="O51:W51"/>
    <mergeCell ref="C45:F45"/>
    <mergeCell ref="G45:I45"/>
    <mergeCell ref="J45:M45"/>
    <mergeCell ref="G46:I46"/>
    <mergeCell ref="G47:I47"/>
    <mergeCell ref="AQ50:AZ50"/>
    <mergeCell ref="BA50:BJ50"/>
    <mergeCell ref="O48:W48"/>
    <mergeCell ref="O49:W49"/>
    <mergeCell ref="AG43:AP43"/>
    <mergeCell ref="AQ43:AZ43"/>
    <mergeCell ref="BA43:BJ43"/>
    <mergeCell ref="AQ45:AZ45"/>
    <mergeCell ref="BA45:BJ45"/>
    <mergeCell ref="AQ46:AZ46"/>
    <mergeCell ref="AG46:AP46"/>
    <mergeCell ref="AG47:AP47"/>
  </mergeCells>
  <phoneticPr fontId="2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86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AS1" s="444">
        <f>'206'!A1+1</f>
        <v>207</v>
      </c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</row>
    <row r="2" spans="2:63" ht="11.1" customHeight="1"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</row>
    <row r="3" spans="2:63" ht="11.1" customHeight="1"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</row>
    <row r="4" spans="2:63" ht="11.1" customHeight="1"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</row>
    <row r="5" spans="2:63" ht="18" customHeight="1">
      <c r="B5" s="379" t="s">
        <v>757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</row>
    <row r="6" spans="2:63" ht="12" customHeight="1">
      <c r="B6" s="380" t="s">
        <v>756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  <c r="BJ6" s="380"/>
    </row>
    <row r="7" spans="2:63" ht="12" customHeight="1">
      <c r="BJ7" s="20" t="s">
        <v>755</v>
      </c>
    </row>
    <row r="8" spans="2:63" ht="13.5" customHeight="1">
      <c r="B8" s="411" t="s">
        <v>754</v>
      </c>
      <c r="C8" s="752"/>
      <c r="D8" s="752"/>
      <c r="E8" s="752"/>
      <c r="F8" s="752"/>
      <c r="G8" s="752"/>
      <c r="H8" s="752"/>
      <c r="I8" s="752"/>
      <c r="J8" s="752"/>
      <c r="K8" s="752"/>
      <c r="L8" s="752"/>
      <c r="M8" s="752"/>
      <c r="N8" s="386" t="s">
        <v>652</v>
      </c>
      <c r="O8" s="752"/>
      <c r="P8" s="752"/>
      <c r="Q8" s="752"/>
      <c r="R8" s="752"/>
      <c r="S8" s="752"/>
      <c r="T8" s="752"/>
      <c r="U8" s="386" t="s">
        <v>651</v>
      </c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 t="s">
        <v>471</v>
      </c>
      <c r="AN8" s="386"/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6"/>
      <c r="BD8" s="386"/>
      <c r="BE8" s="386" t="s">
        <v>753</v>
      </c>
      <c r="BF8" s="386"/>
      <c r="BG8" s="386"/>
      <c r="BH8" s="386"/>
      <c r="BI8" s="386"/>
      <c r="BJ8" s="387"/>
    </row>
    <row r="9" spans="2:63" ht="13.5" customHeight="1">
      <c r="B9" s="762"/>
      <c r="C9" s="753"/>
      <c r="D9" s="753"/>
      <c r="E9" s="753"/>
      <c r="F9" s="753"/>
      <c r="G9" s="753"/>
      <c r="H9" s="753"/>
      <c r="I9" s="753"/>
      <c r="J9" s="753"/>
      <c r="K9" s="753"/>
      <c r="L9" s="753"/>
      <c r="M9" s="753"/>
      <c r="N9" s="753"/>
      <c r="O9" s="753"/>
      <c r="P9" s="753"/>
      <c r="Q9" s="753"/>
      <c r="R9" s="753"/>
      <c r="S9" s="753"/>
      <c r="T9" s="753"/>
      <c r="U9" s="470" t="s">
        <v>238</v>
      </c>
      <c r="V9" s="470"/>
      <c r="W9" s="470"/>
      <c r="X9" s="470"/>
      <c r="Y9" s="470"/>
      <c r="Z9" s="470"/>
      <c r="AA9" s="470" t="s">
        <v>644</v>
      </c>
      <c r="AB9" s="470"/>
      <c r="AC9" s="470"/>
      <c r="AD9" s="470"/>
      <c r="AE9" s="470"/>
      <c r="AF9" s="470"/>
      <c r="AG9" s="470" t="s">
        <v>643</v>
      </c>
      <c r="AH9" s="470"/>
      <c r="AI9" s="470"/>
      <c r="AJ9" s="470"/>
      <c r="AK9" s="470"/>
      <c r="AL9" s="470"/>
      <c r="AM9" s="470" t="s">
        <v>238</v>
      </c>
      <c r="AN9" s="470"/>
      <c r="AO9" s="470"/>
      <c r="AP9" s="470"/>
      <c r="AQ9" s="470"/>
      <c r="AR9" s="470"/>
      <c r="AS9" s="470" t="s">
        <v>644</v>
      </c>
      <c r="AT9" s="470"/>
      <c r="AU9" s="470"/>
      <c r="AV9" s="470"/>
      <c r="AW9" s="470"/>
      <c r="AX9" s="470"/>
      <c r="AY9" s="470" t="s">
        <v>643</v>
      </c>
      <c r="AZ9" s="470"/>
      <c r="BA9" s="470"/>
      <c r="BB9" s="470"/>
      <c r="BC9" s="470"/>
      <c r="BD9" s="470"/>
      <c r="BE9" s="385"/>
      <c r="BF9" s="385"/>
      <c r="BG9" s="385"/>
      <c r="BH9" s="385"/>
      <c r="BI9" s="385"/>
      <c r="BJ9" s="388"/>
    </row>
    <row r="10" spans="2:63" ht="12" customHeight="1">
      <c r="M10" s="21"/>
      <c r="BI10" s="842" t="s">
        <v>752</v>
      </c>
      <c r="BJ10" s="843"/>
    </row>
    <row r="11" spans="2:63" ht="12" customHeight="1">
      <c r="C11" s="807" t="s">
        <v>18</v>
      </c>
      <c r="D11" s="768"/>
      <c r="E11" s="768"/>
      <c r="F11" s="768"/>
      <c r="G11" s="768"/>
      <c r="H11" s="768"/>
      <c r="I11" s="768"/>
      <c r="J11" s="768"/>
      <c r="K11" s="768"/>
      <c r="L11" s="768"/>
      <c r="M11" s="351"/>
      <c r="N11" s="825">
        <f>SUM(N85:Q86)</f>
        <v>1038</v>
      </c>
      <c r="O11" s="825"/>
      <c r="P11" s="825"/>
      <c r="Q11" s="825"/>
      <c r="R11" s="847">
        <f>SUM(R85:T86)</f>
        <v>-84</v>
      </c>
      <c r="S11" s="847"/>
      <c r="T11" s="847"/>
      <c r="U11" s="825">
        <f>SUM(U85:Z86)</f>
        <v>1590</v>
      </c>
      <c r="V11" s="825"/>
      <c r="W11" s="825"/>
      <c r="X11" s="825"/>
      <c r="Y11" s="825"/>
      <c r="Z11" s="825"/>
      <c r="AA11" s="825">
        <f>SUM(AA85:AF86)</f>
        <v>569</v>
      </c>
      <c r="AB11" s="825"/>
      <c r="AC11" s="825"/>
      <c r="AD11" s="825"/>
      <c r="AE11" s="825"/>
      <c r="AF11" s="825"/>
      <c r="AG11" s="825">
        <f>SUM(AG85:AL86)</f>
        <v>1021</v>
      </c>
      <c r="AH11" s="825"/>
      <c r="AI11" s="825"/>
      <c r="AJ11" s="825"/>
      <c r="AK11" s="825"/>
      <c r="AL11" s="825"/>
      <c r="AM11" s="825">
        <f>SUM(AM85:AR86)</f>
        <v>32840</v>
      </c>
      <c r="AN11" s="825"/>
      <c r="AO11" s="825"/>
      <c r="AP11" s="825"/>
      <c r="AQ11" s="825"/>
      <c r="AR11" s="825"/>
      <c r="AS11" s="825">
        <f>SUM(AS85:AX86)</f>
        <v>17005</v>
      </c>
      <c r="AT11" s="825"/>
      <c r="AU11" s="825"/>
      <c r="AV11" s="825"/>
      <c r="AW11" s="825"/>
      <c r="AX11" s="825"/>
      <c r="AY11" s="825">
        <f>SUM(AY85:BD86)</f>
        <v>15835</v>
      </c>
      <c r="AZ11" s="825"/>
      <c r="BA11" s="825"/>
      <c r="BB11" s="825"/>
      <c r="BC11" s="825"/>
      <c r="BD11" s="825"/>
      <c r="BE11" s="825">
        <f>SUM(BE85:BJ86)</f>
        <v>789586</v>
      </c>
      <c r="BF11" s="825"/>
      <c r="BG11" s="825"/>
      <c r="BH11" s="825"/>
      <c r="BI11" s="825"/>
      <c r="BJ11" s="825"/>
    </row>
    <row r="12" spans="2:63" ht="8.1" customHeight="1">
      <c r="M12" s="22"/>
    </row>
    <row r="13" spans="2:63" ht="12" customHeight="1">
      <c r="C13" s="389" t="s">
        <v>751</v>
      </c>
      <c r="D13" s="389"/>
      <c r="E13" s="389"/>
      <c r="F13" s="389"/>
      <c r="G13" s="389"/>
      <c r="H13" s="389"/>
      <c r="I13" s="389"/>
      <c r="J13" s="389"/>
      <c r="K13" s="389"/>
      <c r="L13" s="389"/>
      <c r="M13" s="348"/>
      <c r="N13" s="844">
        <v>6</v>
      </c>
      <c r="O13" s="838"/>
      <c r="P13" s="838"/>
      <c r="Q13" s="838"/>
      <c r="R13" s="845">
        <v>-5</v>
      </c>
      <c r="S13" s="845"/>
      <c r="T13" s="845"/>
      <c r="U13" s="823">
        <f>SUM(AA13,AG13)</f>
        <v>20</v>
      </c>
      <c r="V13" s="823"/>
      <c r="W13" s="823"/>
      <c r="X13" s="823"/>
      <c r="Y13" s="823"/>
      <c r="Z13" s="823"/>
      <c r="AA13" s="846">
        <v>6</v>
      </c>
      <c r="AB13" s="846"/>
      <c r="AC13" s="846"/>
      <c r="AD13" s="846"/>
      <c r="AE13" s="846"/>
      <c r="AF13" s="846"/>
      <c r="AG13" s="846">
        <v>14</v>
      </c>
      <c r="AH13" s="846"/>
      <c r="AI13" s="846"/>
      <c r="AJ13" s="846"/>
      <c r="AK13" s="846"/>
      <c r="AL13" s="846"/>
      <c r="AM13" s="823">
        <f>SUM(AS13,AY13)</f>
        <v>168</v>
      </c>
      <c r="AN13" s="823"/>
      <c r="AO13" s="823"/>
      <c r="AP13" s="823"/>
      <c r="AQ13" s="823"/>
      <c r="AR13" s="823"/>
      <c r="AS13" s="838">
        <v>89</v>
      </c>
      <c r="AT13" s="838"/>
      <c r="AU13" s="838"/>
      <c r="AV13" s="838"/>
      <c r="AW13" s="838"/>
      <c r="AX13" s="838"/>
      <c r="AY13" s="838">
        <v>79</v>
      </c>
      <c r="AZ13" s="838"/>
      <c r="BA13" s="838"/>
      <c r="BB13" s="838"/>
      <c r="BC13" s="838"/>
      <c r="BD13" s="838"/>
      <c r="BE13" s="838">
        <v>15902</v>
      </c>
      <c r="BF13" s="838"/>
      <c r="BG13" s="838"/>
      <c r="BH13" s="838"/>
      <c r="BI13" s="838"/>
      <c r="BJ13" s="838"/>
    </row>
    <row r="14" spans="2:63" ht="12" customHeight="1">
      <c r="C14" s="389" t="s">
        <v>750</v>
      </c>
      <c r="D14" s="389"/>
      <c r="E14" s="389"/>
      <c r="F14" s="389"/>
      <c r="G14" s="389"/>
      <c r="H14" s="389"/>
      <c r="I14" s="389"/>
      <c r="J14" s="389"/>
      <c r="K14" s="389"/>
      <c r="L14" s="389"/>
      <c r="M14" s="348"/>
      <c r="N14" s="844">
        <v>10</v>
      </c>
      <c r="O14" s="838"/>
      <c r="P14" s="838"/>
      <c r="Q14" s="838"/>
      <c r="R14" s="845"/>
      <c r="S14" s="845"/>
      <c r="T14" s="845"/>
      <c r="U14" s="823">
        <f>SUM(AA14,AG14)</f>
        <v>16</v>
      </c>
      <c r="V14" s="823"/>
      <c r="W14" s="823"/>
      <c r="X14" s="823"/>
      <c r="Y14" s="823"/>
      <c r="Z14" s="823"/>
      <c r="AA14" s="846">
        <v>4</v>
      </c>
      <c r="AB14" s="846"/>
      <c r="AC14" s="846"/>
      <c r="AD14" s="846"/>
      <c r="AE14" s="846"/>
      <c r="AF14" s="846"/>
      <c r="AG14" s="846">
        <v>12</v>
      </c>
      <c r="AH14" s="846"/>
      <c r="AI14" s="846"/>
      <c r="AJ14" s="846"/>
      <c r="AK14" s="846"/>
      <c r="AL14" s="846"/>
      <c r="AM14" s="823">
        <f>SUM(AS14,AY14)</f>
        <v>252</v>
      </c>
      <c r="AN14" s="823"/>
      <c r="AO14" s="823"/>
      <c r="AP14" s="823"/>
      <c r="AQ14" s="823"/>
      <c r="AR14" s="823"/>
      <c r="AS14" s="838">
        <v>138</v>
      </c>
      <c r="AT14" s="838"/>
      <c r="AU14" s="838"/>
      <c r="AV14" s="838"/>
      <c r="AW14" s="838"/>
      <c r="AX14" s="838"/>
      <c r="AY14" s="838">
        <v>114</v>
      </c>
      <c r="AZ14" s="838"/>
      <c r="BA14" s="838"/>
      <c r="BB14" s="838"/>
      <c r="BC14" s="838"/>
      <c r="BD14" s="838"/>
      <c r="BE14" s="838">
        <v>13773</v>
      </c>
      <c r="BF14" s="838"/>
      <c r="BG14" s="838"/>
      <c r="BH14" s="838"/>
      <c r="BI14" s="838"/>
      <c r="BJ14" s="838"/>
    </row>
    <row r="15" spans="2:63" ht="12" customHeight="1">
      <c r="C15" s="389" t="s">
        <v>749</v>
      </c>
      <c r="D15" s="389"/>
      <c r="E15" s="389"/>
      <c r="F15" s="389"/>
      <c r="G15" s="389"/>
      <c r="H15" s="389"/>
      <c r="I15" s="389"/>
      <c r="J15" s="389"/>
      <c r="K15" s="389"/>
      <c r="L15" s="389"/>
      <c r="M15" s="348"/>
      <c r="N15" s="844">
        <v>15</v>
      </c>
      <c r="O15" s="838"/>
      <c r="P15" s="838"/>
      <c r="Q15" s="838"/>
      <c r="R15" s="845"/>
      <c r="S15" s="845"/>
      <c r="T15" s="845"/>
      <c r="U15" s="823">
        <f>SUM(AA15,AG15)</f>
        <v>21</v>
      </c>
      <c r="V15" s="823"/>
      <c r="W15" s="823"/>
      <c r="X15" s="823"/>
      <c r="Y15" s="823"/>
      <c r="Z15" s="823"/>
      <c r="AA15" s="846">
        <v>9</v>
      </c>
      <c r="AB15" s="846"/>
      <c r="AC15" s="846"/>
      <c r="AD15" s="846"/>
      <c r="AE15" s="846"/>
      <c r="AF15" s="846"/>
      <c r="AG15" s="846">
        <v>12</v>
      </c>
      <c r="AH15" s="846"/>
      <c r="AI15" s="846"/>
      <c r="AJ15" s="846"/>
      <c r="AK15" s="846"/>
      <c r="AL15" s="846"/>
      <c r="AM15" s="823">
        <f>SUM(AS15,AY15)</f>
        <v>462</v>
      </c>
      <c r="AN15" s="823"/>
      <c r="AO15" s="823"/>
      <c r="AP15" s="823"/>
      <c r="AQ15" s="823"/>
      <c r="AR15" s="823"/>
      <c r="AS15" s="838">
        <v>244</v>
      </c>
      <c r="AT15" s="838"/>
      <c r="AU15" s="838"/>
      <c r="AV15" s="838"/>
      <c r="AW15" s="838"/>
      <c r="AX15" s="838"/>
      <c r="AY15" s="838">
        <v>218</v>
      </c>
      <c r="AZ15" s="838"/>
      <c r="BA15" s="838"/>
      <c r="BB15" s="838"/>
      <c r="BC15" s="838"/>
      <c r="BD15" s="838"/>
      <c r="BE15" s="838">
        <v>11459</v>
      </c>
      <c r="BF15" s="838"/>
      <c r="BG15" s="838"/>
      <c r="BH15" s="838"/>
      <c r="BI15" s="838"/>
      <c r="BJ15" s="838"/>
    </row>
    <row r="16" spans="2:63" ht="12" customHeight="1">
      <c r="C16" s="389" t="s">
        <v>748</v>
      </c>
      <c r="D16" s="389"/>
      <c r="E16" s="389"/>
      <c r="F16" s="389"/>
      <c r="G16" s="389"/>
      <c r="H16" s="389"/>
      <c r="I16" s="389"/>
      <c r="J16" s="389"/>
      <c r="K16" s="389"/>
      <c r="L16" s="389"/>
      <c r="M16" s="348"/>
      <c r="N16" s="844">
        <v>9</v>
      </c>
      <c r="O16" s="838"/>
      <c r="P16" s="838"/>
      <c r="Q16" s="838"/>
      <c r="R16" s="845">
        <v>-5</v>
      </c>
      <c r="S16" s="845"/>
      <c r="T16" s="845"/>
      <c r="U16" s="823">
        <f>SUM(AA16,AG16)</f>
        <v>21</v>
      </c>
      <c r="V16" s="823"/>
      <c r="W16" s="823"/>
      <c r="X16" s="823"/>
      <c r="Y16" s="823"/>
      <c r="Z16" s="823"/>
      <c r="AA16" s="846">
        <v>8</v>
      </c>
      <c r="AB16" s="846"/>
      <c r="AC16" s="846"/>
      <c r="AD16" s="846"/>
      <c r="AE16" s="846"/>
      <c r="AF16" s="846"/>
      <c r="AG16" s="846">
        <v>13</v>
      </c>
      <c r="AH16" s="846"/>
      <c r="AI16" s="846"/>
      <c r="AJ16" s="846"/>
      <c r="AK16" s="846"/>
      <c r="AL16" s="846"/>
      <c r="AM16" s="823">
        <f>SUM(AS16,AY16)</f>
        <v>270</v>
      </c>
      <c r="AN16" s="823"/>
      <c r="AO16" s="823"/>
      <c r="AP16" s="823"/>
      <c r="AQ16" s="823"/>
      <c r="AR16" s="823"/>
      <c r="AS16" s="838">
        <v>156</v>
      </c>
      <c r="AT16" s="838"/>
      <c r="AU16" s="838"/>
      <c r="AV16" s="838"/>
      <c r="AW16" s="838"/>
      <c r="AX16" s="838"/>
      <c r="AY16" s="838">
        <v>114</v>
      </c>
      <c r="AZ16" s="838"/>
      <c r="BA16" s="838"/>
      <c r="BB16" s="838"/>
      <c r="BC16" s="838"/>
      <c r="BD16" s="838"/>
      <c r="BE16" s="838">
        <v>7403</v>
      </c>
      <c r="BF16" s="838"/>
      <c r="BG16" s="838"/>
      <c r="BH16" s="838"/>
      <c r="BI16" s="838"/>
      <c r="BJ16" s="838"/>
    </row>
    <row r="17" spans="3:62" ht="12" customHeight="1">
      <c r="C17" s="389" t="s">
        <v>747</v>
      </c>
      <c r="D17" s="389"/>
      <c r="E17" s="389"/>
      <c r="F17" s="389"/>
      <c r="G17" s="389"/>
      <c r="H17" s="389"/>
      <c r="I17" s="389"/>
      <c r="J17" s="389"/>
      <c r="K17" s="389"/>
      <c r="L17" s="389"/>
      <c r="M17" s="348"/>
      <c r="N17" s="844">
        <v>11</v>
      </c>
      <c r="O17" s="838"/>
      <c r="P17" s="838"/>
      <c r="Q17" s="838"/>
      <c r="R17" s="845"/>
      <c r="S17" s="845"/>
      <c r="T17" s="845"/>
      <c r="U17" s="823">
        <f>SUM(AA17,AG17)</f>
        <v>17</v>
      </c>
      <c r="V17" s="823"/>
      <c r="W17" s="823"/>
      <c r="X17" s="823"/>
      <c r="Y17" s="823"/>
      <c r="Z17" s="823"/>
      <c r="AA17" s="846">
        <v>6</v>
      </c>
      <c r="AB17" s="846"/>
      <c r="AC17" s="846"/>
      <c r="AD17" s="846"/>
      <c r="AE17" s="846"/>
      <c r="AF17" s="846"/>
      <c r="AG17" s="846">
        <v>11</v>
      </c>
      <c r="AH17" s="846"/>
      <c r="AI17" s="846"/>
      <c r="AJ17" s="846"/>
      <c r="AK17" s="846"/>
      <c r="AL17" s="846"/>
      <c r="AM17" s="823">
        <f>SUM(AS17,AY17)</f>
        <v>269</v>
      </c>
      <c r="AN17" s="823"/>
      <c r="AO17" s="823"/>
      <c r="AP17" s="823"/>
      <c r="AQ17" s="823"/>
      <c r="AR17" s="823"/>
      <c r="AS17" s="838">
        <v>136</v>
      </c>
      <c r="AT17" s="838"/>
      <c r="AU17" s="838"/>
      <c r="AV17" s="838"/>
      <c r="AW17" s="838"/>
      <c r="AX17" s="838"/>
      <c r="AY17" s="838">
        <v>133</v>
      </c>
      <c r="AZ17" s="838"/>
      <c r="BA17" s="838"/>
      <c r="BB17" s="838"/>
      <c r="BC17" s="838"/>
      <c r="BD17" s="838"/>
      <c r="BE17" s="712">
        <v>10514</v>
      </c>
      <c r="BF17" s="712"/>
      <c r="BG17" s="712"/>
      <c r="BH17" s="712"/>
      <c r="BI17" s="712"/>
      <c r="BJ17" s="712"/>
    </row>
    <row r="18" spans="3:62" ht="8.1" customHeight="1">
      <c r="M18" s="6"/>
      <c r="N18" s="350"/>
      <c r="O18" s="322"/>
      <c r="P18" s="322"/>
      <c r="Q18" s="322"/>
      <c r="R18" s="322"/>
      <c r="S18" s="322"/>
      <c r="T18" s="322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</row>
    <row r="19" spans="3:62" ht="12" customHeight="1">
      <c r="C19" s="389" t="s">
        <v>746</v>
      </c>
      <c r="D19" s="389"/>
      <c r="E19" s="389"/>
      <c r="F19" s="389"/>
      <c r="G19" s="389"/>
      <c r="H19" s="389"/>
      <c r="I19" s="389"/>
      <c r="J19" s="389"/>
      <c r="K19" s="389"/>
      <c r="L19" s="389"/>
      <c r="M19" s="348"/>
      <c r="N19" s="844">
        <v>17</v>
      </c>
      <c r="O19" s="838"/>
      <c r="P19" s="838"/>
      <c r="Q19" s="838"/>
      <c r="R19" s="845">
        <v>-4</v>
      </c>
      <c r="S19" s="845"/>
      <c r="T19" s="845"/>
      <c r="U19" s="823">
        <f>SUM(AA19,AG19)</f>
        <v>29</v>
      </c>
      <c r="V19" s="823"/>
      <c r="W19" s="823"/>
      <c r="X19" s="823"/>
      <c r="Y19" s="823"/>
      <c r="Z19" s="823"/>
      <c r="AA19" s="846">
        <v>8</v>
      </c>
      <c r="AB19" s="846"/>
      <c r="AC19" s="846"/>
      <c r="AD19" s="846"/>
      <c r="AE19" s="846"/>
      <c r="AF19" s="846"/>
      <c r="AG19" s="846">
        <v>21</v>
      </c>
      <c r="AH19" s="846"/>
      <c r="AI19" s="846"/>
      <c r="AJ19" s="846"/>
      <c r="AK19" s="846"/>
      <c r="AL19" s="846"/>
      <c r="AM19" s="823">
        <f>SUM(AS19,AY19)</f>
        <v>504</v>
      </c>
      <c r="AN19" s="823"/>
      <c r="AO19" s="823"/>
      <c r="AP19" s="823"/>
      <c r="AQ19" s="823"/>
      <c r="AR19" s="823"/>
      <c r="AS19" s="838">
        <v>255</v>
      </c>
      <c r="AT19" s="838"/>
      <c r="AU19" s="838"/>
      <c r="AV19" s="838"/>
      <c r="AW19" s="838"/>
      <c r="AX19" s="838"/>
      <c r="AY19" s="838">
        <v>249</v>
      </c>
      <c r="AZ19" s="838"/>
      <c r="BA19" s="838"/>
      <c r="BB19" s="838"/>
      <c r="BC19" s="838"/>
      <c r="BD19" s="838"/>
      <c r="BE19" s="712">
        <v>11468</v>
      </c>
      <c r="BF19" s="848"/>
      <c r="BG19" s="848"/>
      <c r="BH19" s="848"/>
      <c r="BI19" s="848"/>
      <c r="BJ19" s="848"/>
    </row>
    <row r="20" spans="3:62" ht="12" customHeight="1">
      <c r="C20" s="389" t="s">
        <v>745</v>
      </c>
      <c r="D20" s="389"/>
      <c r="E20" s="389"/>
      <c r="F20" s="389"/>
      <c r="G20" s="389"/>
      <c r="H20" s="389"/>
      <c r="I20" s="389"/>
      <c r="J20" s="389"/>
      <c r="K20" s="389"/>
      <c r="L20" s="389"/>
      <c r="M20" s="348"/>
      <c r="N20" s="844">
        <v>25</v>
      </c>
      <c r="O20" s="838"/>
      <c r="P20" s="838"/>
      <c r="Q20" s="838"/>
      <c r="R20" s="845"/>
      <c r="S20" s="845"/>
      <c r="T20" s="845"/>
      <c r="U20" s="823">
        <f>SUM(AA20,AG20)</f>
        <v>33</v>
      </c>
      <c r="V20" s="823"/>
      <c r="W20" s="823"/>
      <c r="X20" s="823"/>
      <c r="Y20" s="823"/>
      <c r="Z20" s="823"/>
      <c r="AA20" s="846">
        <v>11</v>
      </c>
      <c r="AB20" s="846"/>
      <c r="AC20" s="846"/>
      <c r="AD20" s="846"/>
      <c r="AE20" s="846"/>
      <c r="AF20" s="846"/>
      <c r="AG20" s="846">
        <v>22</v>
      </c>
      <c r="AH20" s="846"/>
      <c r="AI20" s="846"/>
      <c r="AJ20" s="846"/>
      <c r="AK20" s="846"/>
      <c r="AL20" s="846"/>
      <c r="AM20" s="823">
        <f>SUM(AS20,AY20)</f>
        <v>841</v>
      </c>
      <c r="AN20" s="823"/>
      <c r="AO20" s="823"/>
      <c r="AP20" s="823"/>
      <c r="AQ20" s="823"/>
      <c r="AR20" s="823"/>
      <c r="AS20" s="838">
        <v>458</v>
      </c>
      <c r="AT20" s="838"/>
      <c r="AU20" s="838"/>
      <c r="AV20" s="838"/>
      <c r="AW20" s="838"/>
      <c r="AX20" s="838"/>
      <c r="AY20" s="838">
        <v>383</v>
      </c>
      <c r="AZ20" s="838"/>
      <c r="BA20" s="838"/>
      <c r="BB20" s="838"/>
      <c r="BC20" s="838"/>
      <c r="BD20" s="838"/>
      <c r="BE20" s="712">
        <v>13881</v>
      </c>
      <c r="BF20" s="848"/>
      <c r="BG20" s="848"/>
      <c r="BH20" s="848"/>
      <c r="BI20" s="848"/>
      <c r="BJ20" s="848"/>
    </row>
    <row r="21" spans="3:62" ht="12" customHeight="1">
      <c r="C21" s="389" t="s">
        <v>744</v>
      </c>
      <c r="D21" s="389"/>
      <c r="E21" s="389"/>
      <c r="F21" s="389"/>
      <c r="G21" s="389"/>
      <c r="H21" s="389"/>
      <c r="I21" s="389"/>
      <c r="J21" s="389"/>
      <c r="K21" s="389"/>
      <c r="L21" s="389"/>
      <c r="M21" s="348"/>
      <c r="N21" s="844">
        <v>12</v>
      </c>
      <c r="O21" s="838"/>
      <c r="P21" s="838"/>
      <c r="Q21" s="838"/>
      <c r="R21" s="845">
        <v>-1</v>
      </c>
      <c r="S21" s="845"/>
      <c r="T21" s="845"/>
      <c r="U21" s="823">
        <f>SUM(AA21,AG21)</f>
        <v>20</v>
      </c>
      <c r="V21" s="823"/>
      <c r="W21" s="823"/>
      <c r="X21" s="823"/>
      <c r="Y21" s="823"/>
      <c r="Z21" s="823"/>
      <c r="AA21" s="846">
        <v>6</v>
      </c>
      <c r="AB21" s="846"/>
      <c r="AC21" s="846"/>
      <c r="AD21" s="846"/>
      <c r="AE21" s="846"/>
      <c r="AF21" s="846"/>
      <c r="AG21" s="846">
        <v>14</v>
      </c>
      <c r="AH21" s="846"/>
      <c r="AI21" s="846"/>
      <c r="AJ21" s="846"/>
      <c r="AK21" s="846"/>
      <c r="AL21" s="846"/>
      <c r="AM21" s="823">
        <f>SUM(AS21,AY21)</f>
        <v>360</v>
      </c>
      <c r="AN21" s="823"/>
      <c r="AO21" s="823"/>
      <c r="AP21" s="823"/>
      <c r="AQ21" s="823"/>
      <c r="AR21" s="823"/>
      <c r="AS21" s="838">
        <v>187</v>
      </c>
      <c r="AT21" s="838"/>
      <c r="AU21" s="838"/>
      <c r="AV21" s="838"/>
      <c r="AW21" s="838"/>
      <c r="AX21" s="838"/>
      <c r="AY21" s="838">
        <v>173</v>
      </c>
      <c r="AZ21" s="838"/>
      <c r="BA21" s="838"/>
      <c r="BB21" s="838"/>
      <c r="BC21" s="838"/>
      <c r="BD21" s="838"/>
      <c r="BE21" s="712">
        <v>14095</v>
      </c>
      <c r="BF21" s="848"/>
      <c r="BG21" s="848"/>
      <c r="BH21" s="848"/>
      <c r="BI21" s="848"/>
      <c r="BJ21" s="848"/>
    </row>
    <row r="22" spans="3:62" ht="12" customHeight="1">
      <c r="C22" s="389" t="s">
        <v>743</v>
      </c>
      <c r="D22" s="389"/>
      <c r="E22" s="389"/>
      <c r="F22" s="389"/>
      <c r="G22" s="389"/>
      <c r="H22" s="389"/>
      <c r="I22" s="389"/>
      <c r="J22" s="389"/>
      <c r="K22" s="389"/>
      <c r="L22" s="389"/>
      <c r="M22" s="348"/>
      <c r="N22" s="844">
        <v>17</v>
      </c>
      <c r="O22" s="838"/>
      <c r="P22" s="838"/>
      <c r="Q22" s="838"/>
      <c r="R22" s="845"/>
      <c r="S22" s="845"/>
      <c r="T22" s="845"/>
      <c r="U22" s="823">
        <f>SUM(AA22,AG22)</f>
        <v>23</v>
      </c>
      <c r="V22" s="823"/>
      <c r="W22" s="823"/>
      <c r="X22" s="823"/>
      <c r="Y22" s="823"/>
      <c r="Z22" s="823"/>
      <c r="AA22" s="846">
        <v>8</v>
      </c>
      <c r="AB22" s="846"/>
      <c r="AC22" s="846"/>
      <c r="AD22" s="846"/>
      <c r="AE22" s="846"/>
      <c r="AF22" s="846"/>
      <c r="AG22" s="846">
        <v>15</v>
      </c>
      <c r="AH22" s="846"/>
      <c r="AI22" s="846"/>
      <c r="AJ22" s="846"/>
      <c r="AK22" s="846"/>
      <c r="AL22" s="846"/>
      <c r="AM22" s="823">
        <f>SUM(AS22,AY22)</f>
        <v>533</v>
      </c>
      <c r="AN22" s="823"/>
      <c r="AO22" s="823"/>
      <c r="AP22" s="823"/>
      <c r="AQ22" s="823"/>
      <c r="AR22" s="823"/>
      <c r="AS22" s="838">
        <v>282</v>
      </c>
      <c r="AT22" s="838"/>
      <c r="AU22" s="838"/>
      <c r="AV22" s="838"/>
      <c r="AW22" s="838"/>
      <c r="AX22" s="838"/>
      <c r="AY22" s="838">
        <v>251</v>
      </c>
      <c r="AZ22" s="838"/>
      <c r="BA22" s="838"/>
      <c r="BB22" s="838"/>
      <c r="BC22" s="838"/>
      <c r="BD22" s="838"/>
      <c r="BE22" s="712">
        <v>12565</v>
      </c>
      <c r="BF22" s="848"/>
      <c r="BG22" s="848"/>
      <c r="BH22" s="848"/>
      <c r="BI22" s="848"/>
      <c r="BJ22" s="848"/>
    </row>
    <row r="23" spans="3:62" ht="12" customHeight="1">
      <c r="C23" s="389" t="s">
        <v>742</v>
      </c>
      <c r="D23" s="389"/>
      <c r="E23" s="389"/>
      <c r="F23" s="389"/>
      <c r="G23" s="389"/>
      <c r="H23" s="389"/>
      <c r="I23" s="389"/>
      <c r="J23" s="389"/>
      <c r="K23" s="389"/>
      <c r="L23" s="389"/>
      <c r="M23" s="348"/>
      <c r="N23" s="844">
        <v>20</v>
      </c>
      <c r="O23" s="838"/>
      <c r="P23" s="838"/>
      <c r="Q23" s="838"/>
      <c r="R23" s="845"/>
      <c r="S23" s="845"/>
      <c r="T23" s="845"/>
      <c r="U23" s="823">
        <f>SUM(AA23,AG23)</f>
        <v>27</v>
      </c>
      <c r="V23" s="823"/>
      <c r="W23" s="823"/>
      <c r="X23" s="823"/>
      <c r="Y23" s="823"/>
      <c r="Z23" s="823"/>
      <c r="AA23" s="846">
        <v>10</v>
      </c>
      <c r="AB23" s="846"/>
      <c r="AC23" s="846"/>
      <c r="AD23" s="846"/>
      <c r="AE23" s="846"/>
      <c r="AF23" s="846"/>
      <c r="AG23" s="846">
        <v>17</v>
      </c>
      <c r="AH23" s="846"/>
      <c r="AI23" s="846"/>
      <c r="AJ23" s="846"/>
      <c r="AK23" s="846"/>
      <c r="AL23" s="846"/>
      <c r="AM23" s="823">
        <f>SUM(AS23,AY23)</f>
        <v>683</v>
      </c>
      <c r="AN23" s="823"/>
      <c r="AO23" s="823"/>
      <c r="AP23" s="823"/>
      <c r="AQ23" s="823"/>
      <c r="AR23" s="823"/>
      <c r="AS23" s="838">
        <v>365</v>
      </c>
      <c r="AT23" s="838"/>
      <c r="AU23" s="838"/>
      <c r="AV23" s="838"/>
      <c r="AW23" s="838"/>
      <c r="AX23" s="838"/>
      <c r="AY23" s="838">
        <v>318</v>
      </c>
      <c r="AZ23" s="838"/>
      <c r="BA23" s="838"/>
      <c r="BB23" s="838"/>
      <c r="BC23" s="838"/>
      <c r="BD23" s="838"/>
      <c r="BE23" s="712">
        <v>14318</v>
      </c>
      <c r="BF23" s="848"/>
      <c r="BG23" s="848"/>
      <c r="BH23" s="848"/>
      <c r="BI23" s="848"/>
      <c r="BJ23" s="848"/>
    </row>
    <row r="24" spans="3:62" ht="8.1" customHeight="1">
      <c r="M24" s="6"/>
      <c r="N24" s="350"/>
      <c r="O24" s="322"/>
      <c r="P24" s="322"/>
      <c r="Q24" s="322"/>
      <c r="R24" s="322"/>
      <c r="S24" s="322"/>
      <c r="T24" s="322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</row>
    <row r="25" spans="3:62" ht="12" customHeight="1">
      <c r="C25" s="389" t="s">
        <v>741</v>
      </c>
      <c r="D25" s="389"/>
      <c r="E25" s="389"/>
      <c r="F25" s="389"/>
      <c r="G25" s="389"/>
      <c r="H25" s="389"/>
      <c r="I25" s="389"/>
      <c r="J25" s="389"/>
      <c r="K25" s="389"/>
      <c r="L25" s="389"/>
      <c r="M25" s="348"/>
      <c r="N25" s="844">
        <v>12</v>
      </c>
      <c r="O25" s="838"/>
      <c r="P25" s="838"/>
      <c r="Q25" s="838"/>
      <c r="R25" s="845">
        <v>-1</v>
      </c>
      <c r="S25" s="845"/>
      <c r="T25" s="845"/>
      <c r="U25" s="823">
        <f>SUM(AA25,AG25)</f>
        <v>21</v>
      </c>
      <c r="V25" s="823"/>
      <c r="W25" s="823"/>
      <c r="X25" s="823"/>
      <c r="Y25" s="823"/>
      <c r="Z25" s="823"/>
      <c r="AA25" s="846">
        <v>7</v>
      </c>
      <c r="AB25" s="846"/>
      <c r="AC25" s="846"/>
      <c r="AD25" s="846"/>
      <c r="AE25" s="846"/>
      <c r="AF25" s="846"/>
      <c r="AG25" s="846">
        <v>14</v>
      </c>
      <c r="AH25" s="846"/>
      <c r="AI25" s="846"/>
      <c r="AJ25" s="846"/>
      <c r="AK25" s="846"/>
      <c r="AL25" s="846"/>
      <c r="AM25" s="823">
        <f>SUM(AS25,AY25)</f>
        <v>401</v>
      </c>
      <c r="AN25" s="823"/>
      <c r="AO25" s="823"/>
      <c r="AP25" s="823"/>
      <c r="AQ25" s="823"/>
      <c r="AR25" s="823"/>
      <c r="AS25" s="838">
        <v>205</v>
      </c>
      <c r="AT25" s="838"/>
      <c r="AU25" s="838"/>
      <c r="AV25" s="838"/>
      <c r="AW25" s="838"/>
      <c r="AX25" s="838"/>
      <c r="AY25" s="838">
        <v>196</v>
      </c>
      <c r="AZ25" s="838"/>
      <c r="BA25" s="838"/>
      <c r="BB25" s="838"/>
      <c r="BC25" s="838"/>
      <c r="BD25" s="838"/>
      <c r="BE25" s="838">
        <v>10377</v>
      </c>
      <c r="BF25" s="838"/>
      <c r="BG25" s="838"/>
      <c r="BH25" s="838"/>
      <c r="BI25" s="838"/>
      <c r="BJ25" s="838"/>
    </row>
    <row r="26" spans="3:62" ht="12" customHeight="1">
      <c r="C26" s="389" t="s">
        <v>740</v>
      </c>
      <c r="D26" s="389"/>
      <c r="E26" s="389"/>
      <c r="F26" s="389"/>
      <c r="G26" s="389"/>
      <c r="H26" s="389"/>
      <c r="I26" s="389"/>
      <c r="J26" s="389"/>
      <c r="K26" s="389"/>
      <c r="L26" s="389"/>
      <c r="M26" s="348"/>
      <c r="N26" s="844">
        <v>19</v>
      </c>
      <c r="O26" s="838"/>
      <c r="P26" s="838"/>
      <c r="Q26" s="838"/>
      <c r="R26" s="845"/>
      <c r="S26" s="845"/>
      <c r="T26" s="845"/>
      <c r="U26" s="823">
        <f>SUM(AA26,AG26)</f>
        <v>27</v>
      </c>
      <c r="V26" s="823"/>
      <c r="W26" s="823"/>
      <c r="X26" s="823"/>
      <c r="Y26" s="823"/>
      <c r="Z26" s="823"/>
      <c r="AA26" s="846">
        <v>10</v>
      </c>
      <c r="AB26" s="846"/>
      <c r="AC26" s="846"/>
      <c r="AD26" s="846"/>
      <c r="AE26" s="846"/>
      <c r="AF26" s="846"/>
      <c r="AG26" s="846">
        <v>17</v>
      </c>
      <c r="AH26" s="846"/>
      <c r="AI26" s="846"/>
      <c r="AJ26" s="846"/>
      <c r="AK26" s="846"/>
      <c r="AL26" s="846"/>
      <c r="AM26" s="823">
        <f>SUM(AS26,AY26)</f>
        <v>610</v>
      </c>
      <c r="AN26" s="823"/>
      <c r="AO26" s="823"/>
      <c r="AP26" s="823"/>
      <c r="AQ26" s="823"/>
      <c r="AR26" s="823"/>
      <c r="AS26" s="838">
        <v>315</v>
      </c>
      <c r="AT26" s="838"/>
      <c r="AU26" s="838"/>
      <c r="AV26" s="838"/>
      <c r="AW26" s="838"/>
      <c r="AX26" s="838"/>
      <c r="AY26" s="838">
        <v>295</v>
      </c>
      <c r="AZ26" s="838"/>
      <c r="BA26" s="838"/>
      <c r="BB26" s="838"/>
      <c r="BC26" s="838"/>
      <c r="BD26" s="838"/>
      <c r="BE26" s="838">
        <v>8318</v>
      </c>
      <c r="BF26" s="838"/>
      <c r="BG26" s="838"/>
      <c r="BH26" s="838"/>
      <c r="BI26" s="838"/>
      <c r="BJ26" s="838"/>
    </row>
    <row r="27" spans="3:62" ht="12" customHeight="1">
      <c r="C27" s="389" t="s">
        <v>739</v>
      </c>
      <c r="D27" s="389"/>
      <c r="E27" s="389"/>
      <c r="F27" s="389"/>
      <c r="G27" s="389"/>
      <c r="H27" s="389"/>
      <c r="I27" s="389"/>
      <c r="J27" s="389"/>
      <c r="K27" s="389"/>
      <c r="L27" s="389"/>
      <c r="M27" s="348"/>
      <c r="N27" s="844">
        <v>18</v>
      </c>
      <c r="O27" s="838"/>
      <c r="P27" s="838"/>
      <c r="Q27" s="838"/>
      <c r="R27" s="845"/>
      <c r="S27" s="845"/>
      <c r="T27" s="845"/>
      <c r="U27" s="823">
        <f>SUM(AA27,AG27)</f>
        <v>25</v>
      </c>
      <c r="V27" s="823"/>
      <c r="W27" s="823"/>
      <c r="X27" s="823"/>
      <c r="Y27" s="823"/>
      <c r="Z27" s="823"/>
      <c r="AA27" s="846">
        <v>10</v>
      </c>
      <c r="AB27" s="846"/>
      <c r="AC27" s="846"/>
      <c r="AD27" s="846"/>
      <c r="AE27" s="846"/>
      <c r="AF27" s="846"/>
      <c r="AG27" s="846">
        <v>15</v>
      </c>
      <c r="AH27" s="846"/>
      <c r="AI27" s="846"/>
      <c r="AJ27" s="846"/>
      <c r="AK27" s="846"/>
      <c r="AL27" s="846"/>
      <c r="AM27" s="823">
        <f>SUM(AS27,AY27)</f>
        <v>517</v>
      </c>
      <c r="AN27" s="823"/>
      <c r="AO27" s="823"/>
      <c r="AP27" s="823"/>
      <c r="AQ27" s="823"/>
      <c r="AR27" s="823"/>
      <c r="AS27" s="838">
        <v>271</v>
      </c>
      <c r="AT27" s="838"/>
      <c r="AU27" s="838"/>
      <c r="AV27" s="838"/>
      <c r="AW27" s="838"/>
      <c r="AX27" s="838"/>
      <c r="AY27" s="838">
        <v>246</v>
      </c>
      <c r="AZ27" s="838"/>
      <c r="BA27" s="838"/>
      <c r="BB27" s="838"/>
      <c r="BC27" s="838"/>
      <c r="BD27" s="838"/>
      <c r="BE27" s="838">
        <v>13248</v>
      </c>
      <c r="BF27" s="838"/>
      <c r="BG27" s="838"/>
      <c r="BH27" s="838"/>
      <c r="BI27" s="838"/>
      <c r="BJ27" s="838"/>
    </row>
    <row r="28" spans="3:62" ht="12" customHeight="1">
      <c r="C28" s="389" t="s">
        <v>738</v>
      </c>
      <c r="D28" s="389"/>
      <c r="E28" s="389"/>
      <c r="F28" s="389"/>
      <c r="G28" s="389"/>
      <c r="H28" s="389"/>
      <c r="I28" s="389"/>
      <c r="J28" s="389"/>
      <c r="K28" s="389"/>
      <c r="L28" s="389"/>
      <c r="M28" s="348"/>
      <c r="N28" s="844">
        <v>24</v>
      </c>
      <c r="O28" s="838"/>
      <c r="P28" s="838"/>
      <c r="Q28" s="838"/>
      <c r="R28" s="845"/>
      <c r="S28" s="845"/>
      <c r="T28" s="845"/>
      <c r="U28" s="823">
        <f>SUM(AA28,AG28)</f>
        <v>33</v>
      </c>
      <c r="V28" s="823"/>
      <c r="W28" s="823"/>
      <c r="X28" s="823"/>
      <c r="Y28" s="823"/>
      <c r="Z28" s="823"/>
      <c r="AA28" s="846">
        <v>13</v>
      </c>
      <c r="AB28" s="846"/>
      <c r="AC28" s="846"/>
      <c r="AD28" s="846"/>
      <c r="AE28" s="846"/>
      <c r="AF28" s="846"/>
      <c r="AG28" s="846">
        <v>20</v>
      </c>
      <c r="AH28" s="846"/>
      <c r="AI28" s="846"/>
      <c r="AJ28" s="846"/>
      <c r="AK28" s="846"/>
      <c r="AL28" s="846"/>
      <c r="AM28" s="823">
        <f>SUM(AS28,AY28)</f>
        <v>772</v>
      </c>
      <c r="AN28" s="823"/>
      <c r="AO28" s="823"/>
      <c r="AP28" s="823"/>
      <c r="AQ28" s="823"/>
      <c r="AR28" s="823"/>
      <c r="AS28" s="838">
        <v>414</v>
      </c>
      <c r="AT28" s="838"/>
      <c r="AU28" s="838"/>
      <c r="AV28" s="838"/>
      <c r="AW28" s="838"/>
      <c r="AX28" s="838"/>
      <c r="AY28" s="838">
        <v>358</v>
      </c>
      <c r="AZ28" s="838"/>
      <c r="BA28" s="838"/>
      <c r="BB28" s="838"/>
      <c r="BC28" s="838"/>
      <c r="BD28" s="838"/>
      <c r="BE28" s="712">
        <v>12412</v>
      </c>
      <c r="BF28" s="712"/>
      <c r="BG28" s="712"/>
      <c r="BH28" s="712"/>
      <c r="BI28" s="712"/>
      <c r="BJ28" s="712"/>
    </row>
    <row r="29" spans="3:62" ht="12" customHeight="1">
      <c r="C29" s="389" t="s">
        <v>737</v>
      </c>
      <c r="D29" s="389"/>
      <c r="E29" s="389"/>
      <c r="F29" s="389"/>
      <c r="G29" s="389"/>
      <c r="H29" s="389"/>
      <c r="I29" s="389"/>
      <c r="J29" s="389"/>
      <c r="K29" s="389"/>
      <c r="L29" s="389"/>
      <c r="M29" s="348"/>
      <c r="N29" s="844">
        <v>12</v>
      </c>
      <c r="O29" s="838"/>
      <c r="P29" s="838"/>
      <c r="Q29" s="838"/>
      <c r="R29" s="845">
        <v>-3</v>
      </c>
      <c r="S29" s="845"/>
      <c r="T29" s="845"/>
      <c r="U29" s="823">
        <f>SUM(AA29,AG29)</f>
        <v>23</v>
      </c>
      <c r="V29" s="823"/>
      <c r="W29" s="823"/>
      <c r="X29" s="823"/>
      <c r="Y29" s="823"/>
      <c r="Z29" s="823"/>
      <c r="AA29" s="846">
        <v>7</v>
      </c>
      <c r="AB29" s="846"/>
      <c r="AC29" s="846"/>
      <c r="AD29" s="846"/>
      <c r="AE29" s="846"/>
      <c r="AF29" s="846"/>
      <c r="AG29" s="846">
        <v>16</v>
      </c>
      <c r="AH29" s="846"/>
      <c r="AI29" s="846"/>
      <c r="AJ29" s="846"/>
      <c r="AK29" s="846"/>
      <c r="AL29" s="846"/>
      <c r="AM29" s="823">
        <f>SUM(AS29,AY29)</f>
        <v>374</v>
      </c>
      <c r="AN29" s="823"/>
      <c r="AO29" s="823"/>
      <c r="AP29" s="823"/>
      <c r="AQ29" s="823"/>
      <c r="AR29" s="823"/>
      <c r="AS29" s="838">
        <v>182</v>
      </c>
      <c r="AT29" s="838"/>
      <c r="AU29" s="838"/>
      <c r="AV29" s="838"/>
      <c r="AW29" s="838"/>
      <c r="AX29" s="838"/>
      <c r="AY29" s="838">
        <v>192</v>
      </c>
      <c r="AZ29" s="838"/>
      <c r="BA29" s="838"/>
      <c r="BB29" s="838"/>
      <c r="BC29" s="838"/>
      <c r="BD29" s="838"/>
      <c r="BE29" s="838">
        <v>11564</v>
      </c>
      <c r="BF29" s="838"/>
      <c r="BG29" s="838"/>
      <c r="BH29" s="838"/>
      <c r="BI29" s="838"/>
      <c r="BJ29" s="838"/>
    </row>
    <row r="30" spans="3:62" ht="8.1" customHeight="1">
      <c r="M30" s="6"/>
      <c r="N30" s="350"/>
      <c r="O30" s="322"/>
      <c r="P30" s="322"/>
      <c r="Q30" s="322"/>
      <c r="R30" s="322"/>
      <c r="S30" s="322"/>
      <c r="T30" s="322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2"/>
      <c r="BF30" s="322"/>
      <c r="BG30" s="322"/>
      <c r="BH30" s="322"/>
      <c r="BI30" s="322"/>
      <c r="BJ30" s="322"/>
    </row>
    <row r="31" spans="3:62" ht="12" customHeight="1">
      <c r="C31" s="389" t="s">
        <v>736</v>
      </c>
      <c r="D31" s="389"/>
      <c r="E31" s="389"/>
      <c r="F31" s="389"/>
      <c r="G31" s="389"/>
      <c r="H31" s="389"/>
      <c r="I31" s="389"/>
      <c r="J31" s="389"/>
      <c r="K31" s="389"/>
      <c r="L31" s="389"/>
      <c r="M31" s="348"/>
      <c r="N31" s="844">
        <v>18</v>
      </c>
      <c r="O31" s="838"/>
      <c r="P31" s="838"/>
      <c r="Q31" s="838"/>
      <c r="R31" s="845">
        <v>-3</v>
      </c>
      <c r="S31" s="845"/>
      <c r="T31" s="845"/>
      <c r="U31" s="823">
        <f>SUM(AA31,AG31)</f>
        <v>29</v>
      </c>
      <c r="V31" s="823"/>
      <c r="W31" s="823"/>
      <c r="X31" s="823"/>
      <c r="Y31" s="823"/>
      <c r="Z31" s="823"/>
      <c r="AA31" s="846">
        <v>7</v>
      </c>
      <c r="AB31" s="846"/>
      <c r="AC31" s="846"/>
      <c r="AD31" s="846"/>
      <c r="AE31" s="846"/>
      <c r="AF31" s="846"/>
      <c r="AG31" s="846">
        <v>22</v>
      </c>
      <c r="AH31" s="846"/>
      <c r="AI31" s="846"/>
      <c r="AJ31" s="846"/>
      <c r="AK31" s="846"/>
      <c r="AL31" s="846"/>
      <c r="AM31" s="823">
        <f>SUM(AS31,AY31)</f>
        <v>601</v>
      </c>
      <c r="AN31" s="823"/>
      <c r="AO31" s="823"/>
      <c r="AP31" s="823"/>
      <c r="AQ31" s="823"/>
      <c r="AR31" s="823"/>
      <c r="AS31" s="838">
        <v>318</v>
      </c>
      <c r="AT31" s="838"/>
      <c r="AU31" s="838"/>
      <c r="AV31" s="838"/>
      <c r="AW31" s="838"/>
      <c r="AX31" s="838"/>
      <c r="AY31" s="838">
        <v>283</v>
      </c>
      <c r="AZ31" s="838"/>
      <c r="BA31" s="838"/>
      <c r="BB31" s="838"/>
      <c r="BC31" s="838"/>
      <c r="BD31" s="838"/>
      <c r="BE31" s="838">
        <v>13579</v>
      </c>
      <c r="BF31" s="838"/>
      <c r="BG31" s="838"/>
      <c r="BH31" s="838"/>
      <c r="BI31" s="838"/>
      <c r="BJ31" s="838"/>
    </row>
    <row r="32" spans="3:62" ht="12" customHeight="1">
      <c r="C32" s="389" t="s">
        <v>735</v>
      </c>
      <c r="D32" s="389"/>
      <c r="E32" s="389"/>
      <c r="F32" s="389"/>
      <c r="G32" s="389"/>
      <c r="H32" s="389"/>
      <c r="I32" s="389"/>
      <c r="J32" s="389"/>
      <c r="K32" s="389"/>
      <c r="L32" s="389"/>
      <c r="M32" s="348"/>
      <c r="N32" s="844">
        <v>13</v>
      </c>
      <c r="O32" s="838"/>
      <c r="P32" s="838"/>
      <c r="Q32" s="838"/>
      <c r="R32" s="845">
        <v>-2</v>
      </c>
      <c r="S32" s="845"/>
      <c r="T32" s="845"/>
      <c r="U32" s="823">
        <f>SUM(AA32,AG32)</f>
        <v>22</v>
      </c>
      <c r="V32" s="823"/>
      <c r="W32" s="823"/>
      <c r="X32" s="823"/>
      <c r="Y32" s="823"/>
      <c r="Z32" s="823"/>
      <c r="AA32" s="846">
        <v>7</v>
      </c>
      <c r="AB32" s="846"/>
      <c r="AC32" s="846"/>
      <c r="AD32" s="846"/>
      <c r="AE32" s="846"/>
      <c r="AF32" s="846"/>
      <c r="AG32" s="846">
        <v>15</v>
      </c>
      <c r="AH32" s="846"/>
      <c r="AI32" s="846"/>
      <c r="AJ32" s="846"/>
      <c r="AK32" s="846"/>
      <c r="AL32" s="846"/>
      <c r="AM32" s="823">
        <f>SUM(AS32,AY32)</f>
        <v>443</v>
      </c>
      <c r="AN32" s="823"/>
      <c r="AO32" s="823"/>
      <c r="AP32" s="823"/>
      <c r="AQ32" s="823"/>
      <c r="AR32" s="823"/>
      <c r="AS32" s="838">
        <v>258</v>
      </c>
      <c r="AT32" s="838"/>
      <c r="AU32" s="838"/>
      <c r="AV32" s="838"/>
      <c r="AW32" s="838"/>
      <c r="AX32" s="838"/>
      <c r="AY32" s="838">
        <v>185</v>
      </c>
      <c r="AZ32" s="838"/>
      <c r="BA32" s="838"/>
      <c r="BB32" s="838"/>
      <c r="BC32" s="838"/>
      <c r="BD32" s="838"/>
      <c r="BE32" s="838">
        <v>14557</v>
      </c>
      <c r="BF32" s="838"/>
      <c r="BG32" s="838"/>
      <c r="BH32" s="838"/>
      <c r="BI32" s="838"/>
      <c r="BJ32" s="838"/>
    </row>
    <row r="33" spans="3:62" ht="12" customHeight="1">
      <c r="C33" s="389" t="s">
        <v>734</v>
      </c>
      <c r="D33" s="389"/>
      <c r="E33" s="389"/>
      <c r="F33" s="389"/>
      <c r="G33" s="389"/>
      <c r="H33" s="389"/>
      <c r="I33" s="389"/>
      <c r="J33" s="389"/>
      <c r="K33" s="389"/>
      <c r="L33" s="389"/>
      <c r="M33" s="348"/>
      <c r="N33" s="844">
        <v>15</v>
      </c>
      <c r="O33" s="838"/>
      <c r="P33" s="838"/>
      <c r="Q33" s="838"/>
      <c r="R33" s="845"/>
      <c r="S33" s="845"/>
      <c r="T33" s="845"/>
      <c r="U33" s="823">
        <f>SUM(AA33,AG33)</f>
        <v>21</v>
      </c>
      <c r="V33" s="823"/>
      <c r="W33" s="823"/>
      <c r="X33" s="823"/>
      <c r="Y33" s="823"/>
      <c r="Z33" s="823"/>
      <c r="AA33" s="846">
        <v>7</v>
      </c>
      <c r="AB33" s="846"/>
      <c r="AC33" s="846"/>
      <c r="AD33" s="846"/>
      <c r="AE33" s="846"/>
      <c r="AF33" s="846"/>
      <c r="AG33" s="846">
        <v>14</v>
      </c>
      <c r="AH33" s="846"/>
      <c r="AI33" s="846"/>
      <c r="AJ33" s="846"/>
      <c r="AK33" s="846"/>
      <c r="AL33" s="846"/>
      <c r="AM33" s="823">
        <f>SUM(AS33,AY33)</f>
        <v>456</v>
      </c>
      <c r="AN33" s="823"/>
      <c r="AO33" s="823"/>
      <c r="AP33" s="823"/>
      <c r="AQ33" s="823"/>
      <c r="AR33" s="823"/>
      <c r="AS33" s="838">
        <v>239</v>
      </c>
      <c r="AT33" s="838"/>
      <c r="AU33" s="838"/>
      <c r="AV33" s="838"/>
      <c r="AW33" s="838"/>
      <c r="AX33" s="838"/>
      <c r="AY33" s="838">
        <v>217</v>
      </c>
      <c r="AZ33" s="838"/>
      <c r="BA33" s="838"/>
      <c r="BB33" s="838"/>
      <c r="BC33" s="838"/>
      <c r="BD33" s="838"/>
      <c r="BE33" s="838">
        <v>12250</v>
      </c>
      <c r="BF33" s="838"/>
      <c r="BG33" s="838"/>
      <c r="BH33" s="838"/>
      <c r="BI33" s="838"/>
      <c r="BJ33" s="838"/>
    </row>
    <row r="34" spans="3:62" ht="12" customHeight="1">
      <c r="C34" s="389" t="s">
        <v>733</v>
      </c>
      <c r="D34" s="389"/>
      <c r="E34" s="389"/>
      <c r="F34" s="389"/>
      <c r="G34" s="389"/>
      <c r="H34" s="389"/>
      <c r="I34" s="389"/>
      <c r="J34" s="389"/>
      <c r="K34" s="389"/>
      <c r="L34" s="389"/>
      <c r="M34" s="348"/>
      <c r="N34" s="844">
        <v>12</v>
      </c>
      <c r="O34" s="838"/>
      <c r="P34" s="838"/>
      <c r="Q34" s="838"/>
      <c r="R34" s="845"/>
      <c r="S34" s="845"/>
      <c r="T34" s="845"/>
      <c r="U34" s="823">
        <f>SUM(AA34,AG34)</f>
        <v>18</v>
      </c>
      <c r="V34" s="823"/>
      <c r="W34" s="823"/>
      <c r="X34" s="823"/>
      <c r="Y34" s="823"/>
      <c r="Z34" s="823"/>
      <c r="AA34" s="846">
        <v>5</v>
      </c>
      <c r="AB34" s="846"/>
      <c r="AC34" s="846"/>
      <c r="AD34" s="846"/>
      <c r="AE34" s="846"/>
      <c r="AF34" s="846"/>
      <c r="AG34" s="846">
        <v>13</v>
      </c>
      <c r="AH34" s="846"/>
      <c r="AI34" s="846"/>
      <c r="AJ34" s="846"/>
      <c r="AK34" s="846"/>
      <c r="AL34" s="846"/>
      <c r="AM34" s="823">
        <f>SUM(AS34,AY34)</f>
        <v>334</v>
      </c>
      <c r="AN34" s="823"/>
      <c r="AO34" s="823"/>
      <c r="AP34" s="823"/>
      <c r="AQ34" s="823"/>
      <c r="AR34" s="823"/>
      <c r="AS34" s="838">
        <v>172</v>
      </c>
      <c r="AT34" s="838"/>
      <c r="AU34" s="838"/>
      <c r="AV34" s="838"/>
      <c r="AW34" s="838"/>
      <c r="AX34" s="838"/>
      <c r="AY34" s="838">
        <v>162</v>
      </c>
      <c r="AZ34" s="838"/>
      <c r="BA34" s="838"/>
      <c r="BB34" s="838"/>
      <c r="BC34" s="838"/>
      <c r="BD34" s="838"/>
      <c r="BE34" s="838">
        <v>9007</v>
      </c>
      <c r="BF34" s="838"/>
      <c r="BG34" s="838"/>
      <c r="BH34" s="838"/>
      <c r="BI34" s="838"/>
      <c r="BJ34" s="838"/>
    </row>
    <row r="35" spans="3:62" ht="12" customHeight="1">
      <c r="C35" s="389" t="s">
        <v>732</v>
      </c>
      <c r="D35" s="389"/>
      <c r="E35" s="389"/>
      <c r="F35" s="389"/>
      <c r="G35" s="389"/>
      <c r="H35" s="389"/>
      <c r="I35" s="389"/>
      <c r="J35" s="389"/>
      <c r="K35" s="389"/>
      <c r="L35" s="389"/>
      <c r="M35" s="348"/>
      <c r="N35" s="844">
        <v>12</v>
      </c>
      <c r="O35" s="838"/>
      <c r="P35" s="838"/>
      <c r="Q35" s="838"/>
      <c r="R35" s="845">
        <v>-8</v>
      </c>
      <c r="S35" s="845"/>
      <c r="T35" s="845"/>
      <c r="U35" s="823">
        <f>SUM(AA35,AG35)</f>
        <v>28</v>
      </c>
      <c r="V35" s="823"/>
      <c r="W35" s="823"/>
      <c r="X35" s="823"/>
      <c r="Y35" s="823"/>
      <c r="Z35" s="823"/>
      <c r="AA35" s="846">
        <v>11</v>
      </c>
      <c r="AB35" s="846"/>
      <c r="AC35" s="846"/>
      <c r="AD35" s="846"/>
      <c r="AE35" s="846"/>
      <c r="AF35" s="846"/>
      <c r="AG35" s="846">
        <v>17</v>
      </c>
      <c r="AH35" s="846"/>
      <c r="AI35" s="846"/>
      <c r="AJ35" s="846"/>
      <c r="AK35" s="846"/>
      <c r="AL35" s="846"/>
      <c r="AM35" s="823">
        <f>SUM(AS35,AY35)</f>
        <v>402</v>
      </c>
      <c r="AN35" s="823"/>
      <c r="AO35" s="823"/>
      <c r="AP35" s="823"/>
      <c r="AQ35" s="823"/>
      <c r="AR35" s="823"/>
      <c r="AS35" s="838">
        <v>230</v>
      </c>
      <c r="AT35" s="838"/>
      <c r="AU35" s="838"/>
      <c r="AV35" s="838"/>
      <c r="AW35" s="838"/>
      <c r="AX35" s="838"/>
      <c r="AY35" s="838">
        <v>172</v>
      </c>
      <c r="AZ35" s="838"/>
      <c r="BA35" s="838"/>
      <c r="BB35" s="838"/>
      <c r="BC35" s="838"/>
      <c r="BD35" s="838"/>
      <c r="BE35" s="838">
        <v>9106</v>
      </c>
      <c r="BF35" s="838"/>
      <c r="BG35" s="838"/>
      <c r="BH35" s="838"/>
      <c r="BI35" s="838"/>
      <c r="BJ35" s="838"/>
    </row>
    <row r="36" spans="3:62" ht="8.1" customHeight="1">
      <c r="M36" s="6"/>
      <c r="N36" s="350"/>
      <c r="O36" s="322"/>
      <c r="P36" s="322"/>
      <c r="Q36" s="322"/>
      <c r="R36" s="322"/>
      <c r="S36" s="322"/>
      <c r="T36" s="322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</row>
    <row r="37" spans="3:62" ht="12" customHeight="1">
      <c r="C37" s="389" t="s">
        <v>731</v>
      </c>
      <c r="D37" s="389"/>
      <c r="E37" s="389"/>
      <c r="F37" s="389"/>
      <c r="G37" s="389"/>
      <c r="H37" s="389"/>
      <c r="I37" s="389"/>
      <c r="J37" s="389"/>
      <c r="K37" s="389"/>
      <c r="L37" s="389"/>
      <c r="M37" s="348"/>
      <c r="N37" s="844">
        <v>17</v>
      </c>
      <c r="O37" s="838"/>
      <c r="P37" s="838"/>
      <c r="Q37" s="838"/>
      <c r="R37" s="845">
        <v>-1</v>
      </c>
      <c r="S37" s="845"/>
      <c r="T37" s="845"/>
      <c r="U37" s="823">
        <f>SUM(AA37,AG37)</f>
        <v>26</v>
      </c>
      <c r="V37" s="823"/>
      <c r="W37" s="823"/>
      <c r="X37" s="823"/>
      <c r="Y37" s="823"/>
      <c r="Z37" s="823"/>
      <c r="AA37" s="846">
        <v>10</v>
      </c>
      <c r="AB37" s="846"/>
      <c r="AC37" s="846"/>
      <c r="AD37" s="846"/>
      <c r="AE37" s="846"/>
      <c r="AF37" s="846"/>
      <c r="AG37" s="846">
        <v>16</v>
      </c>
      <c r="AH37" s="846"/>
      <c r="AI37" s="846"/>
      <c r="AJ37" s="846"/>
      <c r="AK37" s="846"/>
      <c r="AL37" s="846"/>
      <c r="AM37" s="823">
        <f>SUM(AS37,AY37)</f>
        <v>514</v>
      </c>
      <c r="AN37" s="823"/>
      <c r="AO37" s="823"/>
      <c r="AP37" s="823"/>
      <c r="AQ37" s="823"/>
      <c r="AR37" s="823"/>
      <c r="AS37" s="838">
        <v>255</v>
      </c>
      <c r="AT37" s="838"/>
      <c r="AU37" s="838"/>
      <c r="AV37" s="838"/>
      <c r="AW37" s="838"/>
      <c r="AX37" s="838"/>
      <c r="AY37" s="838">
        <v>259</v>
      </c>
      <c r="AZ37" s="838"/>
      <c r="BA37" s="838"/>
      <c r="BB37" s="838"/>
      <c r="BC37" s="838"/>
      <c r="BD37" s="838"/>
      <c r="BE37" s="838">
        <v>11350</v>
      </c>
      <c r="BF37" s="838"/>
      <c r="BG37" s="838"/>
      <c r="BH37" s="838"/>
      <c r="BI37" s="838"/>
      <c r="BJ37" s="838"/>
    </row>
    <row r="38" spans="3:62" ht="12" customHeight="1">
      <c r="C38" s="389" t="s">
        <v>730</v>
      </c>
      <c r="D38" s="389"/>
      <c r="E38" s="389"/>
      <c r="F38" s="389"/>
      <c r="G38" s="389"/>
      <c r="H38" s="389"/>
      <c r="I38" s="389"/>
      <c r="J38" s="389"/>
      <c r="K38" s="389"/>
      <c r="L38" s="389"/>
      <c r="M38" s="348"/>
      <c r="N38" s="844">
        <v>18</v>
      </c>
      <c r="O38" s="838"/>
      <c r="P38" s="838"/>
      <c r="Q38" s="838"/>
      <c r="R38" s="845">
        <v>-4</v>
      </c>
      <c r="S38" s="845"/>
      <c r="T38" s="845"/>
      <c r="U38" s="823">
        <f>SUM(AA38,AG38)</f>
        <v>31</v>
      </c>
      <c r="V38" s="823"/>
      <c r="W38" s="823"/>
      <c r="X38" s="823"/>
      <c r="Y38" s="823"/>
      <c r="Z38" s="823"/>
      <c r="AA38" s="846">
        <v>9</v>
      </c>
      <c r="AB38" s="846"/>
      <c r="AC38" s="846"/>
      <c r="AD38" s="846"/>
      <c r="AE38" s="846"/>
      <c r="AF38" s="846"/>
      <c r="AG38" s="846">
        <v>22</v>
      </c>
      <c r="AH38" s="846"/>
      <c r="AI38" s="846"/>
      <c r="AJ38" s="846"/>
      <c r="AK38" s="846"/>
      <c r="AL38" s="846"/>
      <c r="AM38" s="823">
        <f>SUM(AS38,AY38)</f>
        <v>556</v>
      </c>
      <c r="AN38" s="823"/>
      <c r="AO38" s="823"/>
      <c r="AP38" s="823"/>
      <c r="AQ38" s="823"/>
      <c r="AR38" s="823"/>
      <c r="AS38" s="838">
        <v>288</v>
      </c>
      <c r="AT38" s="838"/>
      <c r="AU38" s="838"/>
      <c r="AV38" s="838"/>
      <c r="AW38" s="838"/>
      <c r="AX38" s="838"/>
      <c r="AY38" s="838">
        <v>268</v>
      </c>
      <c r="AZ38" s="838"/>
      <c r="BA38" s="838"/>
      <c r="BB38" s="838"/>
      <c r="BC38" s="838"/>
      <c r="BD38" s="838"/>
      <c r="BE38" s="838">
        <v>15400</v>
      </c>
      <c r="BF38" s="838"/>
      <c r="BG38" s="838"/>
      <c r="BH38" s="838"/>
      <c r="BI38" s="838"/>
      <c r="BJ38" s="838"/>
    </row>
    <row r="39" spans="3:62" ht="12" customHeight="1">
      <c r="C39" s="389" t="s">
        <v>729</v>
      </c>
      <c r="D39" s="389"/>
      <c r="E39" s="389"/>
      <c r="F39" s="389"/>
      <c r="G39" s="389"/>
      <c r="H39" s="389"/>
      <c r="I39" s="389"/>
      <c r="J39" s="389"/>
      <c r="K39" s="389"/>
      <c r="L39" s="389"/>
      <c r="M39" s="348"/>
      <c r="N39" s="844">
        <v>22</v>
      </c>
      <c r="O39" s="838"/>
      <c r="P39" s="838"/>
      <c r="Q39" s="838"/>
      <c r="R39" s="845"/>
      <c r="S39" s="845"/>
      <c r="T39" s="845"/>
      <c r="U39" s="823">
        <f>SUM(AA39,AG39)</f>
        <v>30</v>
      </c>
      <c r="V39" s="823"/>
      <c r="W39" s="823"/>
      <c r="X39" s="823"/>
      <c r="Y39" s="823"/>
      <c r="Z39" s="823"/>
      <c r="AA39" s="846">
        <v>9</v>
      </c>
      <c r="AB39" s="846"/>
      <c r="AC39" s="846"/>
      <c r="AD39" s="846"/>
      <c r="AE39" s="846"/>
      <c r="AF39" s="846"/>
      <c r="AG39" s="846">
        <v>21</v>
      </c>
      <c r="AH39" s="846"/>
      <c r="AI39" s="846"/>
      <c r="AJ39" s="846"/>
      <c r="AK39" s="846"/>
      <c r="AL39" s="846"/>
      <c r="AM39" s="823">
        <f>SUM(AS39,AY39)</f>
        <v>712</v>
      </c>
      <c r="AN39" s="823"/>
      <c r="AO39" s="823"/>
      <c r="AP39" s="823"/>
      <c r="AQ39" s="823"/>
      <c r="AR39" s="823"/>
      <c r="AS39" s="838">
        <v>393</v>
      </c>
      <c r="AT39" s="838"/>
      <c r="AU39" s="838"/>
      <c r="AV39" s="838"/>
      <c r="AW39" s="838"/>
      <c r="AX39" s="838"/>
      <c r="AY39" s="838">
        <v>319</v>
      </c>
      <c r="AZ39" s="838"/>
      <c r="BA39" s="838"/>
      <c r="BB39" s="838"/>
      <c r="BC39" s="838"/>
      <c r="BD39" s="838"/>
      <c r="BE39" s="838">
        <v>12571</v>
      </c>
      <c r="BF39" s="838"/>
      <c r="BG39" s="838"/>
      <c r="BH39" s="838"/>
      <c r="BI39" s="838"/>
      <c r="BJ39" s="838"/>
    </row>
    <row r="40" spans="3:62" ht="12" customHeight="1">
      <c r="C40" s="389" t="s">
        <v>728</v>
      </c>
      <c r="D40" s="389"/>
      <c r="E40" s="389"/>
      <c r="F40" s="389"/>
      <c r="G40" s="389"/>
      <c r="H40" s="389"/>
      <c r="I40" s="389"/>
      <c r="J40" s="389"/>
      <c r="K40" s="389"/>
      <c r="L40" s="389"/>
      <c r="M40" s="348"/>
      <c r="N40" s="844">
        <v>15</v>
      </c>
      <c r="O40" s="838"/>
      <c r="P40" s="838"/>
      <c r="Q40" s="838"/>
      <c r="R40" s="845"/>
      <c r="S40" s="845"/>
      <c r="T40" s="845"/>
      <c r="U40" s="823">
        <f>SUM(AA40,AG40)</f>
        <v>21</v>
      </c>
      <c r="V40" s="823"/>
      <c r="W40" s="823"/>
      <c r="X40" s="823"/>
      <c r="Y40" s="823"/>
      <c r="Z40" s="823"/>
      <c r="AA40" s="846">
        <v>7</v>
      </c>
      <c r="AB40" s="846"/>
      <c r="AC40" s="846"/>
      <c r="AD40" s="846"/>
      <c r="AE40" s="846"/>
      <c r="AF40" s="846"/>
      <c r="AG40" s="846">
        <v>14</v>
      </c>
      <c r="AH40" s="846"/>
      <c r="AI40" s="846"/>
      <c r="AJ40" s="846"/>
      <c r="AK40" s="846"/>
      <c r="AL40" s="846"/>
      <c r="AM40" s="823">
        <f>SUM(AS40,AY40)</f>
        <v>454</v>
      </c>
      <c r="AN40" s="823"/>
      <c r="AO40" s="823"/>
      <c r="AP40" s="823"/>
      <c r="AQ40" s="823"/>
      <c r="AR40" s="823"/>
      <c r="AS40" s="838">
        <v>233</v>
      </c>
      <c r="AT40" s="838"/>
      <c r="AU40" s="838"/>
      <c r="AV40" s="838"/>
      <c r="AW40" s="838"/>
      <c r="AX40" s="838"/>
      <c r="AY40" s="838">
        <v>221</v>
      </c>
      <c r="AZ40" s="838"/>
      <c r="BA40" s="838"/>
      <c r="BB40" s="838"/>
      <c r="BC40" s="838"/>
      <c r="BD40" s="838"/>
      <c r="BE40" s="712">
        <v>10592</v>
      </c>
      <c r="BF40" s="712"/>
      <c r="BG40" s="712"/>
      <c r="BH40" s="712"/>
      <c r="BI40" s="712"/>
      <c r="BJ40" s="712"/>
    </row>
    <row r="41" spans="3:62" ht="12" customHeight="1">
      <c r="C41" s="389" t="s">
        <v>727</v>
      </c>
      <c r="D41" s="389"/>
      <c r="E41" s="389"/>
      <c r="F41" s="389"/>
      <c r="G41" s="389"/>
      <c r="H41" s="389"/>
      <c r="I41" s="389"/>
      <c r="J41" s="389"/>
      <c r="K41" s="389"/>
      <c r="L41" s="389"/>
      <c r="M41" s="348"/>
      <c r="N41" s="844">
        <v>13</v>
      </c>
      <c r="O41" s="838"/>
      <c r="P41" s="838"/>
      <c r="Q41" s="838"/>
      <c r="R41" s="845"/>
      <c r="S41" s="845"/>
      <c r="T41" s="845"/>
      <c r="U41" s="823">
        <f>SUM(AA41,AG41)</f>
        <v>19</v>
      </c>
      <c r="V41" s="823"/>
      <c r="W41" s="823"/>
      <c r="X41" s="823"/>
      <c r="Y41" s="823"/>
      <c r="Z41" s="823"/>
      <c r="AA41" s="846">
        <v>8</v>
      </c>
      <c r="AB41" s="846"/>
      <c r="AC41" s="846"/>
      <c r="AD41" s="846"/>
      <c r="AE41" s="846"/>
      <c r="AF41" s="846"/>
      <c r="AG41" s="846">
        <v>11</v>
      </c>
      <c r="AH41" s="846"/>
      <c r="AI41" s="846"/>
      <c r="AJ41" s="846"/>
      <c r="AK41" s="846"/>
      <c r="AL41" s="846"/>
      <c r="AM41" s="823">
        <f>SUM(AS41,AY41)</f>
        <v>365</v>
      </c>
      <c r="AN41" s="823"/>
      <c r="AO41" s="823"/>
      <c r="AP41" s="823"/>
      <c r="AQ41" s="823"/>
      <c r="AR41" s="823"/>
      <c r="AS41" s="838">
        <v>183</v>
      </c>
      <c r="AT41" s="838"/>
      <c r="AU41" s="838"/>
      <c r="AV41" s="838"/>
      <c r="AW41" s="838"/>
      <c r="AX41" s="838"/>
      <c r="AY41" s="838">
        <v>182</v>
      </c>
      <c r="AZ41" s="838"/>
      <c r="BA41" s="838"/>
      <c r="BB41" s="838"/>
      <c r="BC41" s="838"/>
      <c r="BD41" s="838"/>
      <c r="BE41" s="838">
        <v>15310</v>
      </c>
      <c r="BF41" s="838"/>
      <c r="BG41" s="838"/>
      <c r="BH41" s="838"/>
      <c r="BI41" s="838"/>
      <c r="BJ41" s="838"/>
    </row>
    <row r="42" spans="3:62" ht="8.1" customHeight="1">
      <c r="M42" s="6"/>
      <c r="N42" s="350"/>
      <c r="O42" s="322"/>
      <c r="P42" s="322"/>
      <c r="Q42" s="322"/>
      <c r="R42" s="322"/>
      <c r="S42" s="322"/>
      <c r="T42" s="322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S42" s="322"/>
      <c r="AT42" s="322"/>
      <c r="AU42" s="322"/>
      <c r="AV42" s="322"/>
      <c r="AW42" s="322"/>
      <c r="AX42" s="322"/>
      <c r="AY42" s="322"/>
      <c r="AZ42" s="322"/>
      <c r="BA42" s="322"/>
      <c r="BB42" s="322"/>
      <c r="BC42" s="322"/>
      <c r="BD42" s="322"/>
      <c r="BE42" s="322"/>
      <c r="BF42" s="322"/>
      <c r="BG42" s="322"/>
      <c r="BH42" s="322"/>
      <c r="BI42" s="322"/>
      <c r="BJ42" s="322"/>
    </row>
    <row r="43" spans="3:62" ht="12" customHeight="1">
      <c r="C43" s="389" t="s">
        <v>726</v>
      </c>
      <c r="D43" s="389"/>
      <c r="E43" s="389"/>
      <c r="F43" s="389"/>
      <c r="G43" s="389"/>
      <c r="H43" s="389"/>
      <c r="I43" s="389"/>
      <c r="J43" s="389"/>
      <c r="K43" s="389"/>
      <c r="L43" s="389"/>
      <c r="M43" s="348"/>
      <c r="N43" s="844">
        <v>12</v>
      </c>
      <c r="O43" s="838"/>
      <c r="P43" s="838"/>
      <c r="Q43" s="838"/>
      <c r="R43" s="845"/>
      <c r="S43" s="845"/>
      <c r="T43" s="845"/>
      <c r="U43" s="823">
        <f>SUM(AA43,AG43)</f>
        <v>18</v>
      </c>
      <c r="V43" s="823"/>
      <c r="W43" s="823"/>
      <c r="X43" s="823"/>
      <c r="Y43" s="823"/>
      <c r="Z43" s="823"/>
      <c r="AA43" s="846">
        <v>6</v>
      </c>
      <c r="AB43" s="846"/>
      <c r="AC43" s="846"/>
      <c r="AD43" s="846"/>
      <c r="AE43" s="846"/>
      <c r="AF43" s="846"/>
      <c r="AG43" s="846">
        <v>12</v>
      </c>
      <c r="AH43" s="846"/>
      <c r="AI43" s="846"/>
      <c r="AJ43" s="846"/>
      <c r="AK43" s="846"/>
      <c r="AL43" s="846"/>
      <c r="AM43" s="823">
        <f>SUM(AS43,AY43)</f>
        <v>336</v>
      </c>
      <c r="AN43" s="823"/>
      <c r="AO43" s="823"/>
      <c r="AP43" s="823"/>
      <c r="AQ43" s="823"/>
      <c r="AR43" s="823"/>
      <c r="AS43" s="838">
        <v>160</v>
      </c>
      <c r="AT43" s="838"/>
      <c r="AU43" s="838"/>
      <c r="AV43" s="838"/>
      <c r="AW43" s="838"/>
      <c r="AX43" s="838"/>
      <c r="AY43" s="838">
        <v>176</v>
      </c>
      <c r="AZ43" s="838"/>
      <c r="BA43" s="838"/>
      <c r="BB43" s="838"/>
      <c r="BC43" s="838"/>
      <c r="BD43" s="838"/>
      <c r="BE43" s="838">
        <v>12716</v>
      </c>
      <c r="BF43" s="838"/>
      <c r="BG43" s="838"/>
      <c r="BH43" s="838"/>
      <c r="BI43" s="838"/>
      <c r="BJ43" s="838"/>
    </row>
    <row r="44" spans="3:62" ht="12" customHeight="1">
      <c r="C44" s="389" t="s">
        <v>725</v>
      </c>
      <c r="D44" s="389"/>
      <c r="E44" s="389"/>
      <c r="F44" s="389"/>
      <c r="G44" s="389"/>
      <c r="H44" s="389"/>
      <c r="I44" s="389"/>
      <c r="J44" s="389"/>
      <c r="K44" s="389"/>
      <c r="L44" s="389"/>
      <c r="M44" s="348"/>
      <c r="N44" s="844">
        <v>21</v>
      </c>
      <c r="O44" s="838"/>
      <c r="P44" s="838"/>
      <c r="Q44" s="838"/>
      <c r="R44" s="845"/>
      <c r="S44" s="845"/>
      <c r="T44" s="845"/>
      <c r="U44" s="823">
        <f>SUM(AA44,AG44)</f>
        <v>28</v>
      </c>
      <c r="V44" s="823"/>
      <c r="W44" s="823"/>
      <c r="X44" s="823"/>
      <c r="Y44" s="823"/>
      <c r="Z44" s="823"/>
      <c r="AA44" s="846">
        <v>10</v>
      </c>
      <c r="AB44" s="846"/>
      <c r="AC44" s="846"/>
      <c r="AD44" s="846"/>
      <c r="AE44" s="846"/>
      <c r="AF44" s="846"/>
      <c r="AG44" s="846">
        <v>18</v>
      </c>
      <c r="AH44" s="846"/>
      <c r="AI44" s="846"/>
      <c r="AJ44" s="846"/>
      <c r="AK44" s="846"/>
      <c r="AL44" s="846"/>
      <c r="AM44" s="823">
        <f>SUM(AS44,AY44)</f>
        <v>678</v>
      </c>
      <c r="AN44" s="823"/>
      <c r="AO44" s="823"/>
      <c r="AP44" s="823"/>
      <c r="AQ44" s="823"/>
      <c r="AR44" s="823"/>
      <c r="AS44" s="838">
        <v>355</v>
      </c>
      <c r="AT44" s="838"/>
      <c r="AU44" s="838"/>
      <c r="AV44" s="838"/>
      <c r="AW44" s="838"/>
      <c r="AX44" s="838"/>
      <c r="AY44" s="838">
        <v>323</v>
      </c>
      <c r="AZ44" s="838"/>
      <c r="BA44" s="838"/>
      <c r="BB44" s="838"/>
      <c r="BC44" s="838"/>
      <c r="BD44" s="838"/>
      <c r="BE44" s="712">
        <v>10907</v>
      </c>
      <c r="BF44" s="712"/>
      <c r="BG44" s="712"/>
      <c r="BH44" s="712"/>
      <c r="BI44" s="712"/>
      <c r="BJ44" s="712"/>
    </row>
    <row r="45" spans="3:62" ht="12" customHeight="1">
      <c r="C45" s="389" t="s">
        <v>724</v>
      </c>
      <c r="D45" s="389"/>
      <c r="E45" s="389"/>
      <c r="F45" s="389"/>
      <c r="G45" s="389"/>
      <c r="H45" s="389"/>
      <c r="I45" s="389"/>
      <c r="J45" s="389"/>
      <c r="K45" s="389"/>
      <c r="L45" s="389"/>
      <c r="M45" s="348"/>
      <c r="N45" s="844">
        <v>11</v>
      </c>
      <c r="O45" s="838"/>
      <c r="P45" s="838"/>
      <c r="Q45" s="838"/>
      <c r="R45" s="845"/>
      <c r="S45" s="845"/>
      <c r="T45" s="845"/>
      <c r="U45" s="823">
        <f>SUM(AA45,AG45)</f>
        <v>17</v>
      </c>
      <c r="V45" s="823"/>
      <c r="W45" s="823"/>
      <c r="X45" s="823"/>
      <c r="Y45" s="823"/>
      <c r="Z45" s="823"/>
      <c r="AA45" s="846">
        <v>7</v>
      </c>
      <c r="AB45" s="846"/>
      <c r="AC45" s="846"/>
      <c r="AD45" s="846"/>
      <c r="AE45" s="846"/>
      <c r="AF45" s="846"/>
      <c r="AG45" s="846">
        <v>10</v>
      </c>
      <c r="AH45" s="846"/>
      <c r="AI45" s="846"/>
      <c r="AJ45" s="846"/>
      <c r="AK45" s="846"/>
      <c r="AL45" s="846"/>
      <c r="AM45" s="823">
        <f>SUM(AS45,AY45)</f>
        <v>266</v>
      </c>
      <c r="AN45" s="823"/>
      <c r="AO45" s="823"/>
      <c r="AP45" s="823"/>
      <c r="AQ45" s="823"/>
      <c r="AR45" s="823"/>
      <c r="AS45" s="838">
        <v>148</v>
      </c>
      <c r="AT45" s="838"/>
      <c r="AU45" s="838"/>
      <c r="AV45" s="838"/>
      <c r="AW45" s="838"/>
      <c r="AX45" s="838"/>
      <c r="AY45" s="838">
        <v>118</v>
      </c>
      <c r="AZ45" s="838"/>
      <c r="BA45" s="838"/>
      <c r="BB45" s="838"/>
      <c r="BC45" s="838"/>
      <c r="BD45" s="838"/>
      <c r="BE45" s="838">
        <v>10705</v>
      </c>
      <c r="BF45" s="838"/>
      <c r="BG45" s="838"/>
      <c r="BH45" s="838"/>
      <c r="BI45" s="838"/>
      <c r="BJ45" s="838"/>
    </row>
    <row r="46" spans="3:62" ht="12" customHeight="1">
      <c r="C46" s="389" t="s">
        <v>723</v>
      </c>
      <c r="D46" s="389"/>
      <c r="E46" s="389"/>
      <c r="F46" s="389"/>
      <c r="G46" s="389"/>
      <c r="H46" s="389"/>
      <c r="I46" s="389"/>
      <c r="J46" s="389"/>
      <c r="K46" s="389"/>
      <c r="L46" s="389"/>
      <c r="M46" s="348"/>
      <c r="N46" s="844">
        <v>15</v>
      </c>
      <c r="O46" s="838"/>
      <c r="P46" s="838"/>
      <c r="Q46" s="838"/>
      <c r="R46" s="845">
        <v>-4</v>
      </c>
      <c r="S46" s="845"/>
      <c r="T46" s="845"/>
      <c r="U46" s="823">
        <f>SUM(AA46,AG46)</f>
        <v>26</v>
      </c>
      <c r="V46" s="823"/>
      <c r="W46" s="823"/>
      <c r="X46" s="823"/>
      <c r="Y46" s="823"/>
      <c r="Z46" s="823"/>
      <c r="AA46" s="846">
        <v>9</v>
      </c>
      <c r="AB46" s="846"/>
      <c r="AC46" s="846"/>
      <c r="AD46" s="846"/>
      <c r="AE46" s="846"/>
      <c r="AF46" s="846"/>
      <c r="AG46" s="846">
        <v>17</v>
      </c>
      <c r="AH46" s="846"/>
      <c r="AI46" s="846"/>
      <c r="AJ46" s="846"/>
      <c r="AK46" s="846"/>
      <c r="AL46" s="846"/>
      <c r="AM46" s="823">
        <f>SUM(AS46,AY46)</f>
        <v>495</v>
      </c>
      <c r="AN46" s="823"/>
      <c r="AO46" s="823"/>
      <c r="AP46" s="823"/>
      <c r="AQ46" s="823"/>
      <c r="AR46" s="823"/>
      <c r="AS46" s="838">
        <v>261</v>
      </c>
      <c r="AT46" s="838"/>
      <c r="AU46" s="838"/>
      <c r="AV46" s="838"/>
      <c r="AW46" s="838"/>
      <c r="AX46" s="838"/>
      <c r="AY46" s="838">
        <v>234</v>
      </c>
      <c r="AZ46" s="838"/>
      <c r="BA46" s="838"/>
      <c r="BB46" s="838"/>
      <c r="BC46" s="838"/>
      <c r="BD46" s="838"/>
      <c r="BE46" s="838">
        <v>14110</v>
      </c>
      <c r="BF46" s="838"/>
      <c r="BG46" s="838"/>
      <c r="BH46" s="838"/>
      <c r="BI46" s="838"/>
      <c r="BJ46" s="838"/>
    </row>
    <row r="47" spans="3:62" ht="12" customHeight="1">
      <c r="C47" s="389" t="s">
        <v>722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48"/>
      <c r="N47" s="844">
        <v>14</v>
      </c>
      <c r="O47" s="838"/>
      <c r="P47" s="838"/>
      <c r="Q47" s="838"/>
      <c r="R47" s="845">
        <v>-2</v>
      </c>
      <c r="S47" s="845"/>
      <c r="T47" s="845"/>
      <c r="U47" s="823">
        <f>SUM(AA47,AG47)</f>
        <v>23</v>
      </c>
      <c r="V47" s="823"/>
      <c r="W47" s="823"/>
      <c r="X47" s="823"/>
      <c r="Y47" s="823"/>
      <c r="Z47" s="823"/>
      <c r="AA47" s="846">
        <v>8</v>
      </c>
      <c r="AB47" s="846"/>
      <c r="AC47" s="846"/>
      <c r="AD47" s="846"/>
      <c r="AE47" s="846"/>
      <c r="AF47" s="846"/>
      <c r="AG47" s="846">
        <v>15</v>
      </c>
      <c r="AH47" s="846"/>
      <c r="AI47" s="846"/>
      <c r="AJ47" s="846"/>
      <c r="AK47" s="846"/>
      <c r="AL47" s="846"/>
      <c r="AM47" s="823">
        <f>SUM(AS47,AY47)</f>
        <v>459</v>
      </c>
      <c r="AN47" s="823"/>
      <c r="AO47" s="823"/>
      <c r="AP47" s="823"/>
      <c r="AQ47" s="823"/>
      <c r="AR47" s="823"/>
      <c r="AS47" s="838">
        <v>231</v>
      </c>
      <c r="AT47" s="838"/>
      <c r="AU47" s="838"/>
      <c r="AV47" s="838"/>
      <c r="AW47" s="838"/>
      <c r="AX47" s="838"/>
      <c r="AY47" s="838">
        <v>228</v>
      </c>
      <c r="AZ47" s="838"/>
      <c r="BA47" s="838"/>
      <c r="BB47" s="838"/>
      <c r="BC47" s="838"/>
      <c r="BD47" s="838"/>
      <c r="BE47" s="838">
        <v>12001</v>
      </c>
      <c r="BF47" s="838"/>
      <c r="BG47" s="838"/>
      <c r="BH47" s="838"/>
      <c r="BI47" s="838"/>
      <c r="BJ47" s="838"/>
    </row>
    <row r="48" spans="3:62" ht="8.1" customHeight="1">
      <c r="M48" s="6"/>
      <c r="N48" s="350"/>
      <c r="O48" s="322"/>
      <c r="P48" s="322"/>
      <c r="Q48" s="322"/>
      <c r="R48" s="322"/>
      <c r="S48" s="322"/>
      <c r="T48" s="322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S48" s="322"/>
      <c r="AT48" s="322"/>
      <c r="AU48" s="322"/>
      <c r="AV48" s="322"/>
      <c r="AW48" s="322"/>
      <c r="AX48" s="322"/>
      <c r="AY48" s="322"/>
      <c r="AZ48" s="322"/>
      <c r="BA48" s="322"/>
      <c r="BB48" s="322"/>
      <c r="BC48" s="322"/>
      <c r="BD48" s="322"/>
      <c r="BE48" s="322"/>
      <c r="BF48" s="322"/>
      <c r="BG48" s="322"/>
      <c r="BH48" s="322"/>
      <c r="BI48" s="322"/>
      <c r="BJ48" s="322"/>
    </row>
    <row r="49" spans="3:62" ht="12" customHeight="1">
      <c r="C49" s="389" t="s">
        <v>721</v>
      </c>
      <c r="D49" s="389"/>
      <c r="E49" s="389"/>
      <c r="F49" s="389"/>
      <c r="G49" s="389"/>
      <c r="H49" s="389"/>
      <c r="I49" s="389"/>
      <c r="J49" s="389"/>
      <c r="K49" s="389"/>
      <c r="L49" s="389"/>
      <c r="M49" s="348"/>
      <c r="N49" s="844">
        <v>18</v>
      </c>
      <c r="O49" s="838"/>
      <c r="P49" s="838"/>
      <c r="Q49" s="838"/>
      <c r="R49" s="845"/>
      <c r="S49" s="845"/>
      <c r="T49" s="845"/>
      <c r="U49" s="823">
        <f>SUM(AA49,AG49)</f>
        <v>25</v>
      </c>
      <c r="V49" s="823"/>
      <c r="W49" s="823"/>
      <c r="X49" s="823"/>
      <c r="Y49" s="823"/>
      <c r="Z49" s="823"/>
      <c r="AA49" s="846">
        <v>7</v>
      </c>
      <c r="AB49" s="846"/>
      <c r="AC49" s="846"/>
      <c r="AD49" s="846"/>
      <c r="AE49" s="846"/>
      <c r="AF49" s="846"/>
      <c r="AG49" s="846">
        <v>18</v>
      </c>
      <c r="AH49" s="846"/>
      <c r="AI49" s="846"/>
      <c r="AJ49" s="846"/>
      <c r="AK49" s="846"/>
      <c r="AL49" s="846"/>
      <c r="AM49" s="823">
        <f>SUM(AS49,AY49)</f>
        <v>546</v>
      </c>
      <c r="AN49" s="823"/>
      <c r="AO49" s="823"/>
      <c r="AP49" s="823"/>
      <c r="AQ49" s="823"/>
      <c r="AR49" s="823"/>
      <c r="AS49" s="838">
        <v>274</v>
      </c>
      <c r="AT49" s="838"/>
      <c r="AU49" s="838"/>
      <c r="AV49" s="838"/>
      <c r="AW49" s="838"/>
      <c r="AX49" s="838"/>
      <c r="AY49" s="838">
        <v>272</v>
      </c>
      <c r="AZ49" s="838"/>
      <c r="BA49" s="838"/>
      <c r="BB49" s="838"/>
      <c r="BC49" s="838"/>
      <c r="BD49" s="838"/>
      <c r="BE49" s="838">
        <v>12001</v>
      </c>
      <c r="BF49" s="838"/>
      <c r="BG49" s="838"/>
      <c r="BH49" s="838"/>
      <c r="BI49" s="838"/>
      <c r="BJ49" s="838"/>
    </row>
    <row r="50" spans="3:62" ht="12" customHeight="1">
      <c r="C50" s="389" t="s">
        <v>720</v>
      </c>
      <c r="D50" s="389"/>
      <c r="E50" s="389"/>
      <c r="F50" s="389"/>
      <c r="G50" s="389"/>
      <c r="H50" s="389"/>
      <c r="I50" s="389"/>
      <c r="J50" s="389"/>
      <c r="K50" s="389"/>
      <c r="L50" s="389"/>
      <c r="M50" s="348"/>
      <c r="N50" s="844">
        <v>13</v>
      </c>
      <c r="O50" s="838"/>
      <c r="P50" s="838"/>
      <c r="Q50" s="838"/>
      <c r="R50" s="845"/>
      <c r="S50" s="845"/>
      <c r="T50" s="845"/>
      <c r="U50" s="823">
        <f>SUM(AA50,AG50)</f>
        <v>19</v>
      </c>
      <c r="V50" s="823"/>
      <c r="W50" s="823"/>
      <c r="X50" s="823"/>
      <c r="Y50" s="823"/>
      <c r="Z50" s="823"/>
      <c r="AA50" s="846">
        <v>6</v>
      </c>
      <c r="AB50" s="846"/>
      <c r="AC50" s="846"/>
      <c r="AD50" s="846"/>
      <c r="AE50" s="846"/>
      <c r="AF50" s="846"/>
      <c r="AG50" s="846">
        <v>13</v>
      </c>
      <c r="AH50" s="846"/>
      <c r="AI50" s="846"/>
      <c r="AJ50" s="846"/>
      <c r="AK50" s="846"/>
      <c r="AL50" s="846"/>
      <c r="AM50" s="823">
        <f>SUM(AS50,AY50)</f>
        <v>414</v>
      </c>
      <c r="AN50" s="823"/>
      <c r="AO50" s="823"/>
      <c r="AP50" s="823"/>
      <c r="AQ50" s="823"/>
      <c r="AR50" s="823"/>
      <c r="AS50" s="838">
        <v>219</v>
      </c>
      <c r="AT50" s="838"/>
      <c r="AU50" s="838"/>
      <c r="AV50" s="838"/>
      <c r="AW50" s="838"/>
      <c r="AX50" s="838"/>
      <c r="AY50" s="838">
        <v>195</v>
      </c>
      <c r="AZ50" s="838"/>
      <c r="BA50" s="838"/>
      <c r="BB50" s="838"/>
      <c r="BC50" s="838"/>
      <c r="BD50" s="838"/>
      <c r="BE50" s="838">
        <v>12000</v>
      </c>
      <c r="BF50" s="838"/>
      <c r="BG50" s="838"/>
      <c r="BH50" s="838"/>
      <c r="BI50" s="838"/>
      <c r="BJ50" s="838"/>
    </row>
    <row r="51" spans="3:62" ht="12" customHeight="1">
      <c r="C51" s="389" t="s">
        <v>719</v>
      </c>
      <c r="D51" s="389"/>
      <c r="E51" s="389"/>
      <c r="F51" s="389"/>
      <c r="G51" s="389"/>
      <c r="H51" s="389"/>
      <c r="I51" s="389"/>
      <c r="J51" s="389"/>
      <c r="K51" s="389"/>
      <c r="L51" s="389"/>
      <c r="M51" s="348"/>
      <c r="N51" s="844">
        <v>8</v>
      </c>
      <c r="O51" s="838"/>
      <c r="P51" s="838"/>
      <c r="Q51" s="838"/>
      <c r="R51" s="845">
        <v>-5</v>
      </c>
      <c r="S51" s="845"/>
      <c r="T51" s="845"/>
      <c r="U51" s="823">
        <f>SUM(AA51,AG51)</f>
        <v>20</v>
      </c>
      <c r="V51" s="823"/>
      <c r="W51" s="823"/>
      <c r="X51" s="823"/>
      <c r="Y51" s="823"/>
      <c r="Z51" s="823"/>
      <c r="AA51" s="846">
        <v>7</v>
      </c>
      <c r="AB51" s="846"/>
      <c r="AC51" s="846"/>
      <c r="AD51" s="846"/>
      <c r="AE51" s="846"/>
      <c r="AF51" s="846"/>
      <c r="AG51" s="846">
        <v>13</v>
      </c>
      <c r="AH51" s="846"/>
      <c r="AI51" s="846"/>
      <c r="AJ51" s="846"/>
      <c r="AK51" s="846"/>
      <c r="AL51" s="846"/>
      <c r="AM51" s="823">
        <f>SUM(AS51,AY51)</f>
        <v>237</v>
      </c>
      <c r="AN51" s="823"/>
      <c r="AO51" s="823"/>
      <c r="AP51" s="823"/>
      <c r="AQ51" s="823"/>
      <c r="AR51" s="823"/>
      <c r="AS51" s="838">
        <v>127</v>
      </c>
      <c r="AT51" s="838"/>
      <c r="AU51" s="838"/>
      <c r="AV51" s="838"/>
      <c r="AW51" s="838"/>
      <c r="AX51" s="838"/>
      <c r="AY51" s="838">
        <v>110</v>
      </c>
      <c r="AZ51" s="838"/>
      <c r="BA51" s="838"/>
      <c r="BB51" s="838"/>
      <c r="BC51" s="838"/>
      <c r="BD51" s="838"/>
      <c r="BE51" s="838">
        <v>13000</v>
      </c>
      <c r="BF51" s="838"/>
      <c r="BG51" s="838"/>
      <c r="BH51" s="838"/>
      <c r="BI51" s="838"/>
      <c r="BJ51" s="838"/>
    </row>
    <row r="52" spans="3:62" ht="12" customHeight="1">
      <c r="C52" s="389" t="s">
        <v>718</v>
      </c>
      <c r="D52" s="389"/>
      <c r="E52" s="389"/>
      <c r="F52" s="389"/>
      <c r="G52" s="389"/>
      <c r="H52" s="389"/>
      <c r="I52" s="389"/>
      <c r="J52" s="389"/>
      <c r="K52" s="389"/>
      <c r="L52" s="389"/>
      <c r="M52" s="348"/>
      <c r="N52" s="844">
        <v>18</v>
      </c>
      <c r="O52" s="838"/>
      <c r="P52" s="838"/>
      <c r="Q52" s="838"/>
      <c r="R52" s="845">
        <v>-5</v>
      </c>
      <c r="S52" s="845"/>
      <c r="T52" s="845"/>
      <c r="U52" s="823">
        <f>SUM(AA52,AG52)</f>
        <v>32</v>
      </c>
      <c r="V52" s="823"/>
      <c r="W52" s="823"/>
      <c r="X52" s="823"/>
      <c r="Y52" s="823"/>
      <c r="Z52" s="823"/>
      <c r="AA52" s="846">
        <v>13</v>
      </c>
      <c r="AB52" s="846"/>
      <c r="AC52" s="846"/>
      <c r="AD52" s="846"/>
      <c r="AE52" s="846"/>
      <c r="AF52" s="846"/>
      <c r="AG52" s="846">
        <v>19</v>
      </c>
      <c r="AH52" s="846"/>
      <c r="AI52" s="846"/>
      <c r="AJ52" s="846"/>
      <c r="AK52" s="846"/>
      <c r="AL52" s="846"/>
      <c r="AM52" s="823">
        <f>SUM(AS52,AY52)</f>
        <v>564</v>
      </c>
      <c r="AN52" s="823"/>
      <c r="AO52" s="823"/>
      <c r="AP52" s="823"/>
      <c r="AQ52" s="823"/>
      <c r="AR52" s="823"/>
      <c r="AS52" s="838">
        <v>317</v>
      </c>
      <c r="AT52" s="838"/>
      <c r="AU52" s="838"/>
      <c r="AV52" s="838"/>
      <c r="AW52" s="838"/>
      <c r="AX52" s="838"/>
      <c r="AY52" s="838">
        <v>247</v>
      </c>
      <c r="AZ52" s="838"/>
      <c r="BA52" s="838"/>
      <c r="BB52" s="838"/>
      <c r="BC52" s="838"/>
      <c r="BD52" s="838"/>
      <c r="BE52" s="838">
        <v>12534</v>
      </c>
      <c r="BF52" s="838"/>
      <c r="BG52" s="838"/>
      <c r="BH52" s="838"/>
      <c r="BI52" s="838"/>
      <c r="BJ52" s="838"/>
    </row>
    <row r="53" spans="3:62" ht="12" customHeight="1">
      <c r="C53" s="389" t="s">
        <v>717</v>
      </c>
      <c r="D53" s="389"/>
      <c r="E53" s="389"/>
      <c r="F53" s="389"/>
      <c r="G53" s="389"/>
      <c r="H53" s="389"/>
      <c r="I53" s="389"/>
      <c r="J53" s="389"/>
      <c r="K53" s="389"/>
      <c r="L53" s="389"/>
      <c r="M53" s="348"/>
      <c r="N53" s="844">
        <v>12</v>
      </c>
      <c r="O53" s="838"/>
      <c r="P53" s="838"/>
      <c r="Q53" s="838"/>
      <c r="R53" s="845">
        <v>-3</v>
      </c>
      <c r="S53" s="845"/>
      <c r="T53" s="845"/>
      <c r="U53" s="823">
        <f>SUM(AA53,AG53)</f>
        <v>22</v>
      </c>
      <c r="V53" s="823"/>
      <c r="W53" s="823"/>
      <c r="X53" s="823"/>
      <c r="Y53" s="823"/>
      <c r="Z53" s="823"/>
      <c r="AA53" s="846">
        <v>13</v>
      </c>
      <c r="AB53" s="846"/>
      <c r="AC53" s="846"/>
      <c r="AD53" s="846"/>
      <c r="AE53" s="846"/>
      <c r="AF53" s="846"/>
      <c r="AG53" s="846">
        <v>9</v>
      </c>
      <c r="AH53" s="846"/>
      <c r="AI53" s="846"/>
      <c r="AJ53" s="846"/>
      <c r="AK53" s="846"/>
      <c r="AL53" s="846"/>
      <c r="AM53" s="823">
        <f>SUM(AS53,AY53)</f>
        <v>368</v>
      </c>
      <c r="AN53" s="823"/>
      <c r="AO53" s="823"/>
      <c r="AP53" s="823"/>
      <c r="AQ53" s="823"/>
      <c r="AR53" s="823"/>
      <c r="AS53" s="838">
        <v>186</v>
      </c>
      <c r="AT53" s="838"/>
      <c r="AU53" s="838"/>
      <c r="AV53" s="838"/>
      <c r="AW53" s="838"/>
      <c r="AX53" s="838"/>
      <c r="AY53" s="838">
        <v>182</v>
      </c>
      <c r="AZ53" s="838"/>
      <c r="BA53" s="838"/>
      <c r="BB53" s="838"/>
      <c r="BC53" s="838"/>
      <c r="BD53" s="838"/>
      <c r="BE53" s="838">
        <v>12455</v>
      </c>
      <c r="BF53" s="838"/>
      <c r="BG53" s="838"/>
      <c r="BH53" s="838"/>
      <c r="BI53" s="838"/>
      <c r="BJ53" s="838"/>
    </row>
    <row r="54" spans="3:62" ht="8.1" customHeight="1">
      <c r="M54" s="6"/>
      <c r="N54" s="350"/>
      <c r="O54" s="322"/>
      <c r="P54" s="322"/>
      <c r="Q54" s="322"/>
      <c r="R54" s="322"/>
      <c r="S54" s="322"/>
      <c r="T54" s="322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S54" s="322"/>
      <c r="AT54" s="322"/>
      <c r="AU54" s="322"/>
      <c r="AV54" s="322"/>
      <c r="AW54" s="322"/>
      <c r="AX54" s="322"/>
      <c r="AY54" s="322"/>
      <c r="AZ54" s="322"/>
      <c r="BA54" s="322"/>
      <c r="BB54" s="322"/>
      <c r="BC54" s="322"/>
      <c r="BD54" s="322"/>
      <c r="BE54" s="322"/>
      <c r="BF54" s="322"/>
      <c r="BG54" s="322"/>
      <c r="BH54" s="322"/>
      <c r="BI54" s="322"/>
      <c r="BJ54" s="322"/>
    </row>
    <row r="55" spans="3:62" ht="12" customHeight="1">
      <c r="C55" s="389" t="s">
        <v>716</v>
      </c>
      <c r="D55" s="389"/>
      <c r="E55" s="389"/>
      <c r="F55" s="389"/>
      <c r="G55" s="389"/>
      <c r="H55" s="389"/>
      <c r="I55" s="389"/>
      <c r="J55" s="389"/>
      <c r="K55" s="389"/>
      <c r="L55" s="389"/>
      <c r="M55" s="348"/>
      <c r="N55" s="844">
        <v>12</v>
      </c>
      <c r="O55" s="838"/>
      <c r="P55" s="838"/>
      <c r="Q55" s="838"/>
      <c r="R55" s="845">
        <v>-2</v>
      </c>
      <c r="S55" s="845"/>
      <c r="T55" s="845"/>
      <c r="U55" s="823">
        <f>SUM(AA55,AG55)</f>
        <v>21</v>
      </c>
      <c r="V55" s="823"/>
      <c r="W55" s="823"/>
      <c r="X55" s="823"/>
      <c r="Y55" s="823"/>
      <c r="Z55" s="823"/>
      <c r="AA55" s="846">
        <v>7</v>
      </c>
      <c r="AB55" s="846"/>
      <c r="AC55" s="846"/>
      <c r="AD55" s="846"/>
      <c r="AE55" s="846"/>
      <c r="AF55" s="846"/>
      <c r="AG55" s="846">
        <v>14</v>
      </c>
      <c r="AH55" s="846"/>
      <c r="AI55" s="846"/>
      <c r="AJ55" s="846"/>
      <c r="AK55" s="846"/>
      <c r="AL55" s="846"/>
      <c r="AM55" s="823">
        <f>SUM(AS55,AY55)</f>
        <v>348</v>
      </c>
      <c r="AN55" s="823"/>
      <c r="AO55" s="823"/>
      <c r="AP55" s="823"/>
      <c r="AQ55" s="823"/>
      <c r="AR55" s="823"/>
      <c r="AS55" s="838">
        <v>183</v>
      </c>
      <c r="AT55" s="838"/>
      <c r="AU55" s="838"/>
      <c r="AV55" s="838"/>
      <c r="AW55" s="838"/>
      <c r="AX55" s="838"/>
      <c r="AY55" s="838">
        <v>165</v>
      </c>
      <c r="AZ55" s="838"/>
      <c r="BA55" s="838"/>
      <c r="BB55" s="838"/>
      <c r="BC55" s="838"/>
      <c r="BD55" s="838"/>
      <c r="BE55" s="838">
        <v>9530</v>
      </c>
      <c r="BF55" s="838"/>
      <c r="BG55" s="838"/>
      <c r="BH55" s="838"/>
      <c r="BI55" s="838"/>
      <c r="BJ55" s="838"/>
    </row>
    <row r="56" spans="3:62" ht="12" customHeight="1">
      <c r="C56" s="389" t="s">
        <v>715</v>
      </c>
      <c r="D56" s="389"/>
      <c r="E56" s="389"/>
      <c r="F56" s="389"/>
      <c r="G56" s="389"/>
      <c r="H56" s="389"/>
      <c r="I56" s="389"/>
      <c r="J56" s="389"/>
      <c r="K56" s="389"/>
      <c r="L56" s="389"/>
      <c r="M56" s="348"/>
      <c r="N56" s="844">
        <v>20</v>
      </c>
      <c r="O56" s="838"/>
      <c r="P56" s="838"/>
      <c r="Q56" s="838"/>
      <c r="R56" s="845"/>
      <c r="S56" s="845"/>
      <c r="T56" s="845"/>
      <c r="U56" s="823">
        <f>SUM(AA56,AG56)</f>
        <v>27</v>
      </c>
      <c r="V56" s="823"/>
      <c r="W56" s="823"/>
      <c r="X56" s="823"/>
      <c r="Y56" s="823"/>
      <c r="Z56" s="823"/>
      <c r="AA56" s="846">
        <v>12</v>
      </c>
      <c r="AB56" s="846"/>
      <c r="AC56" s="846"/>
      <c r="AD56" s="846"/>
      <c r="AE56" s="846"/>
      <c r="AF56" s="846"/>
      <c r="AG56" s="846">
        <v>15</v>
      </c>
      <c r="AH56" s="846"/>
      <c r="AI56" s="846"/>
      <c r="AJ56" s="846"/>
      <c r="AK56" s="846"/>
      <c r="AL56" s="846"/>
      <c r="AM56" s="823">
        <f>SUM(AS56,AY56)</f>
        <v>641</v>
      </c>
      <c r="AN56" s="823"/>
      <c r="AO56" s="823"/>
      <c r="AP56" s="823"/>
      <c r="AQ56" s="823"/>
      <c r="AR56" s="823"/>
      <c r="AS56" s="838">
        <v>323</v>
      </c>
      <c r="AT56" s="838"/>
      <c r="AU56" s="838"/>
      <c r="AV56" s="838"/>
      <c r="AW56" s="838"/>
      <c r="AX56" s="838"/>
      <c r="AY56" s="838">
        <v>318</v>
      </c>
      <c r="AZ56" s="838"/>
      <c r="BA56" s="838"/>
      <c r="BB56" s="838"/>
      <c r="BC56" s="838"/>
      <c r="BD56" s="838"/>
      <c r="BE56" s="838">
        <v>8980</v>
      </c>
      <c r="BF56" s="838"/>
      <c r="BG56" s="838"/>
      <c r="BH56" s="838"/>
      <c r="BI56" s="838"/>
      <c r="BJ56" s="838"/>
    </row>
    <row r="57" spans="3:62" ht="12" customHeight="1">
      <c r="C57" s="389" t="s">
        <v>714</v>
      </c>
      <c r="D57" s="389"/>
      <c r="E57" s="389"/>
      <c r="F57" s="389"/>
      <c r="G57" s="389"/>
      <c r="H57" s="389"/>
      <c r="I57" s="389"/>
      <c r="J57" s="389"/>
      <c r="K57" s="389"/>
      <c r="L57" s="389"/>
      <c r="M57" s="348"/>
      <c r="N57" s="844">
        <v>18</v>
      </c>
      <c r="O57" s="838"/>
      <c r="P57" s="838"/>
      <c r="Q57" s="838"/>
      <c r="R57" s="845"/>
      <c r="S57" s="845"/>
      <c r="T57" s="845"/>
      <c r="U57" s="823">
        <f>SUM(AA57,AG57)</f>
        <v>25</v>
      </c>
      <c r="V57" s="823"/>
      <c r="W57" s="823"/>
      <c r="X57" s="823"/>
      <c r="Y57" s="823"/>
      <c r="Z57" s="823"/>
      <c r="AA57" s="846">
        <v>9</v>
      </c>
      <c r="AB57" s="846"/>
      <c r="AC57" s="846"/>
      <c r="AD57" s="846"/>
      <c r="AE57" s="846"/>
      <c r="AF57" s="846"/>
      <c r="AG57" s="846">
        <v>16</v>
      </c>
      <c r="AH57" s="846"/>
      <c r="AI57" s="846"/>
      <c r="AJ57" s="846"/>
      <c r="AK57" s="846"/>
      <c r="AL57" s="846"/>
      <c r="AM57" s="823">
        <f>SUM(AS57,AY57)</f>
        <v>582</v>
      </c>
      <c r="AN57" s="823"/>
      <c r="AO57" s="823"/>
      <c r="AP57" s="823"/>
      <c r="AQ57" s="823"/>
      <c r="AR57" s="823"/>
      <c r="AS57" s="838">
        <v>301</v>
      </c>
      <c r="AT57" s="838"/>
      <c r="AU57" s="838"/>
      <c r="AV57" s="838"/>
      <c r="AW57" s="838"/>
      <c r="AX57" s="838"/>
      <c r="AY57" s="838">
        <v>281</v>
      </c>
      <c r="AZ57" s="838"/>
      <c r="BA57" s="838"/>
      <c r="BB57" s="838"/>
      <c r="BC57" s="838"/>
      <c r="BD57" s="838"/>
      <c r="BE57" s="838">
        <v>11666</v>
      </c>
      <c r="BF57" s="838"/>
      <c r="BG57" s="838"/>
      <c r="BH57" s="838"/>
      <c r="BI57" s="838"/>
      <c r="BJ57" s="838"/>
    </row>
    <row r="58" spans="3:62" ht="12" customHeight="1">
      <c r="C58" s="389" t="s">
        <v>713</v>
      </c>
      <c r="D58" s="389"/>
      <c r="E58" s="389"/>
      <c r="F58" s="389"/>
      <c r="G58" s="389"/>
      <c r="H58" s="389"/>
      <c r="I58" s="389"/>
      <c r="J58" s="389"/>
      <c r="K58" s="389"/>
      <c r="L58" s="389"/>
      <c r="M58" s="348"/>
      <c r="N58" s="844">
        <v>19</v>
      </c>
      <c r="O58" s="838"/>
      <c r="P58" s="838"/>
      <c r="Q58" s="838"/>
      <c r="R58" s="845">
        <v>-2</v>
      </c>
      <c r="S58" s="845"/>
      <c r="T58" s="845"/>
      <c r="U58" s="823">
        <f>SUM(AA58,AG58)</f>
        <v>31</v>
      </c>
      <c r="V58" s="823"/>
      <c r="W58" s="823"/>
      <c r="X58" s="823"/>
      <c r="Y58" s="823"/>
      <c r="Z58" s="823"/>
      <c r="AA58" s="846">
        <v>12</v>
      </c>
      <c r="AB58" s="846"/>
      <c r="AC58" s="846"/>
      <c r="AD58" s="846"/>
      <c r="AE58" s="846"/>
      <c r="AF58" s="846"/>
      <c r="AG58" s="846">
        <v>19</v>
      </c>
      <c r="AH58" s="846"/>
      <c r="AI58" s="846"/>
      <c r="AJ58" s="846"/>
      <c r="AK58" s="846"/>
      <c r="AL58" s="846"/>
      <c r="AM58" s="823">
        <f>SUM(AS58,AY58)</f>
        <v>605</v>
      </c>
      <c r="AN58" s="823"/>
      <c r="AO58" s="823"/>
      <c r="AP58" s="823"/>
      <c r="AQ58" s="823"/>
      <c r="AR58" s="823"/>
      <c r="AS58" s="838">
        <v>328</v>
      </c>
      <c r="AT58" s="838"/>
      <c r="AU58" s="838"/>
      <c r="AV58" s="838"/>
      <c r="AW58" s="838"/>
      <c r="AX58" s="838"/>
      <c r="AY58" s="838">
        <v>277</v>
      </c>
      <c r="AZ58" s="838"/>
      <c r="BA58" s="838"/>
      <c r="BB58" s="838"/>
      <c r="BC58" s="838"/>
      <c r="BD58" s="838"/>
      <c r="BE58" s="838">
        <v>13757</v>
      </c>
      <c r="BF58" s="838"/>
      <c r="BG58" s="838"/>
      <c r="BH58" s="838"/>
      <c r="BI58" s="838"/>
      <c r="BJ58" s="838"/>
    </row>
    <row r="59" spans="3:62" ht="12" customHeight="1">
      <c r="C59" s="389" t="s">
        <v>712</v>
      </c>
      <c r="D59" s="389"/>
      <c r="E59" s="389"/>
      <c r="F59" s="389"/>
      <c r="G59" s="389"/>
      <c r="H59" s="389"/>
      <c r="I59" s="389"/>
      <c r="J59" s="389"/>
      <c r="K59" s="389"/>
      <c r="L59" s="389"/>
      <c r="M59" s="348"/>
      <c r="N59" s="844">
        <v>21</v>
      </c>
      <c r="O59" s="838"/>
      <c r="P59" s="838"/>
      <c r="Q59" s="838"/>
      <c r="R59" s="845"/>
      <c r="S59" s="845"/>
      <c r="T59" s="845"/>
      <c r="U59" s="823">
        <f>SUM(AA59,AG59)</f>
        <v>28</v>
      </c>
      <c r="V59" s="823"/>
      <c r="W59" s="823"/>
      <c r="X59" s="823"/>
      <c r="Y59" s="823"/>
      <c r="Z59" s="823"/>
      <c r="AA59" s="846">
        <v>11</v>
      </c>
      <c r="AB59" s="846"/>
      <c r="AC59" s="846"/>
      <c r="AD59" s="846"/>
      <c r="AE59" s="846"/>
      <c r="AF59" s="846"/>
      <c r="AG59" s="846">
        <v>17</v>
      </c>
      <c r="AH59" s="846"/>
      <c r="AI59" s="846"/>
      <c r="AJ59" s="846"/>
      <c r="AK59" s="846"/>
      <c r="AL59" s="846"/>
      <c r="AM59" s="823">
        <f>SUM(AS59,AY59)</f>
        <v>686</v>
      </c>
      <c r="AN59" s="823"/>
      <c r="AO59" s="823"/>
      <c r="AP59" s="823"/>
      <c r="AQ59" s="823"/>
      <c r="AR59" s="823"/>
      <c r="AS59" s="838">
        <v>319</v>
      </c>
      <c r="AT59" s="838"/>
      <c r="AU59" s="838"/>
      <c r="AV59" s="838"/>
      <c r="AW59" s="838"/>
      <c r="AX59" s="838"/>
      <c r="AY59" s="838">
        <v>367</v>
      </c>
      <c r="AZ59" s="838"/>
      <c r="BA59" s="838"/>
      <c r="BB59" s="838"/>
      <c r="BC59" s="838"/>
      <c r="BD59" s="838"/>
      <c r="BE59" s="838">
        <v>9322</v>
      </c>
      <c r="BF59" s="838"/>
      <c r="BG59" s="838"/>
      <c r="BH59" s="838"/>
      <c r="BI59" s="838"/>
      <c r="BJ59" s="838"/>
    </row>
    <row r="60" spans="3:62" ht="8.1" customHeight="1">
      <c r="M60" s="6"/>
      <c r="N60" s="350"/>
      <c r="O60" s="322"/>
      <c r="P60" s="322"/>
      <c r="Q60" s="322"/>
      <c r="R60" s="322"/>
      <c r="S60" s="322"/>
      <c r="T60" s="322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S60" s="322"/>
      <c r="AT60" s="322"/>
      <c r="AU60" s="322"/>
      <c r="AV60" s="322"/>
      <c r="AW60" s="322"/>
      <c r="AX60" s="322"/>
      <c r="AY60" s="322"/>
      <c r="AZ60" s="322"/>
      <c r="BA60" s="322"/>
      <c r="BB60" s="322"/>
      <c r="BC60" s="322"/>
      <c r="BD60" s="322"/>
      <c r="BE60" s="322"/>
      <c r="BF60" s="322"/>
      <c r="BG60" s="322"/>
      <c r="BH60" s="322"/>
      <c r="BI60" s="322"/>
      <c r="BJ60" s="322"/>
    </row>
    <row r="61" spans="3:62" ht="12" customHeight="1">
      <c r="C61" s="389" t="s">
        <v>711</v>
      </c>
      <c r="D61" s="389"/>
      <c r="E61" s="389"/>
      <c r="F61" s="389"/>
      <c r="G61" s="389"/>
      <c r="H61" s="389"/>
      <c r="I61" s="389"/>
      <c r="J61" s="389"/>
      <c r="K61" s="389"/>
      <c r="L61" s="389"/>
      <c r="M61" s="348"/>
      <c r="N61" s="844">
        <v>24</v>
      </c>
      <c r="O61" s="838"/>
      <c r="P61" s="838"/>
      <c r="Q61" s="838"/>
      <c r="R61" s="845"/>
      <c r="S61" s="845"/>
      <c r="T61" s="845"/>
      <c r="U61" s="823">
        <f>SUM(AA61,AG61)</f>
        <v>32</v>
      </c>
      <c r="V61" s="823"/>
      <c r="W61" s="823"/>
      <c r="X61" s="823"/>
      <c r="Y61" s="823"/>
      <c r="Z61" s="823"/>
      <c r="AA61" s="846">
        <v>10</v>
      </c>
      <c r="AB61" s="846"/>
      <c r="AC61" s="846"/>
      <c r="AD61" s="846"/>
      <c r="AE61" s="846"/>
      <c r="AF61" s="846"/>
      <c r="AG61" s="846">
        <v>22</v>
      </c>
      <c r="AH61" s="846"/>
      <c r="AI61" s="846"/>
      <c r="AJ61" s="846"/>
      <c r="AK61" s="846"/>
      <c r="AL61" s="846"/>
      <c r="AM61" s="823">
        <f>SUM(AS61,AY61)</f>
        <v>846</v>
      </c>
      <c r="AN61" s="823"/>
      <c r="AO61" s="823"/>
      <c r="AP61" s="823"/>
      <c r="AQ61" s="823"/>
      <c r="AR61" s="823"/>
      <c r="AS61" s="838">
        <v>407</v>
      </c>
      <c r="AT61" s="838"/>
      <c r="AU61" s="838"/>
      <c r="AV61" s="838"/>
      <c r="AW61" s="838"/>
      <c r="AX61" s="838"/>
      <c r="AY61" s="838">
        <v>439</v>
      </c>
      <c r="AZ61" s="838"/>
      <c r="BA61" s="838"/>
      <c r="BB61" s="838"/>
      <c r="BC61" s="838"/>
      <c r="BD61" s="838"/>
      <c r="BE61" s="838">
        <v>16210</v>
      </c>
      <c r="BF61" s="838"/>
      <c r="BG61" s="838"/>
      <c r="BH61" s="838"/>
      <c r="BI61" s="838"/>
      <c r="BJ61" s="838"/>
    </row>
    <row r="62" spans="3:62" ht="12" customHeight="1">
      <c r="C62" s="389" t="s">
        <v>710</v>
      </c>
      <c r="D62" s="389"/>
      <c r="E62" s="389"/>
      <c r="F62" s="389"/>
      <c r="G62" s="389"/>
      <c r="H62" s="389"/>
      <c r="I62" s="389"/>
      <c r="J62" s="389"/>
      <c r="K62" s="389"/>
      <c r="L62" s="389"/>
      <c r="M62" s="348"/>
      <c r="N62" s="844">
        <v>17</v>
      </c>
      <c r="O62" s="838"/>
      <c r="P62" s="838"/>
      <c r="Q62" s="838"/>
      <c r="R62" s="845"/>
      <c r="S62" s="845"/>
      <c r="T62" s="845"/>
      <c r="U62" s="823">
        <f>SUM(AA62,AG62)</f>
        <v>24</v>
      </c>
      <c r="V62" s="823"/>
      <c r="W62" s="823"/>
      <c r="X62" s="823"/>
      <c r="Y62" s="823"/>
      <c r="Z62" s="823"/>
      <c r="AA62" s="846">
        <v>9</v>
      </c>
      <c r="AB62" s="846"/>
      <c r="AC62" s="846"/>
      <c r="AD62" s="846"/>
      <c r="AE62" s="846"/>
      <c r="AF62" s="846"/>
      <c r="AG62" s="846">
        <v>15</v>
      </c>
      <c r="AH62" s="846"/>
      <c r="AI62" s="846"/>
      <c r="AJ62" s="846"/>
      <c r="AK62" s="846"/>
      <c r="AL62" s="846"/>
      <c r="AM62" s="823">
        <f>SUM(AS62,AY62)</f>
        <v>536</v>
      </c>
      <c r="AN62" s="823"/>
      <c r="AO62" s="823"/>
      <c r="AP62" s="823"/>
      <c r="AQ62" s="823"/>
      <c r="AR62" s="823"/>
      <c r="AS62" s="838">
        <v>260</v>
      </c>
      <c r="AT62" s="838"/>
      <c r="AU62" s="838"/>
      <c r="AV62" s="838"/>
      <c r="AW62" s="838"/>
      <c r="AX62" s="838"/>
      <c r="AY62" s="838">
        <v>276</v>
      </c>
      <c r="AZ62" s="838"/>
      <c r="BA62" s="838"/>
      <c r="BB62" s="838"/>
      <c r="BC62" s="838"/>
      <c r="BD62" s="838"/>
      <c r="BE62" s="838">
        <v>14258</v>
      </c>
      <c r="BF62" s="838"/>
      <c r="BG62" s="838"/>
      <c r="BH62" s="838"/>
      <c r="BI62" s="838"/>
      <c r="BJ62" s="838"/>
    </row>
    <row r="63" spans="3:62" ht="12" customHeight="1">
      <c r="C63" s="389" t="s">
        <v>709</v>
      </c>
      <c r="D63" s="389"/>
      <c r="E63" s="389"/>
      <c r="F63" s="389"/>
      <c r="G63" s="389"/>
      <c r="H63" s="389"/>
      <c r="I63" s="389"/>
      <c r="J63" s="389"/>
      <c r="K63" s="389"/>
      <c r="L63" s="389"/>
      <c r="M63" s="348"/>
      <c r="N63" s="844">
        <v>19</v>
      </c>
      <c r="O63" s="838"/>
      <c r="P63" s="838"/>
      <c r="Q63" s="838"/>
      <c r="R63" s="845"/>
      <c r="S63" s="845"/>
      <c r="T63" s="845"/>
      <c r="U63" s="823">
        <f>SUM(AA63,AG63)</f>
        <v>26</v>
      </c>
      <c r="V63" s="823"/>
      <c r="W63" s="823"/>
      <c r="X63" s="823"/>
      <c r="Y63" s="823"/>
      <c r="Z63" s="823"/>
      <c r="AA63" s="846">
        <v>8</v>
      </c>
      <c r="AB63" s="846"/>
      <c r="AC63" s="846"/>
      <c r="AD63" s="846"/>
      <c r="AE63" s="846"/>
      <c r="AF63" s="846"/>
      <c r="AG63" s="846">
        <v>18</v>
      </c>
      <c r="AH63" s="846"/>
      <c r="AI63" s="846"/>
      <c r="AJ63" s="846"/>
      <c r="AK63" s="846"/>
      <c r="AL63" s="846"/>
      <c r="AM63" s="823">
        <f>SUM(AS63,AY63)</f>
        <v>652</v>
      </c>
      <c r="AN63" s="823"/>
      <c r="AO63" s="823"/>
      <c r="AP63" s="823"/>
      <c r="AQ63" s="823"/>
      <c r="AR63" s="823"/>
      <c r="AS63" s="838">
        <v>336</v>
      </c>
      <c r="AT63" s="838"/>
      <c r="AU63" s="838"/>
      <c r="AV63" s="838"/>
      <c r="AW63" s="838"/>
      <c r="AX63" s="838"/>
      <c r="AY63" s="838">
        <v>316</v>
      </c>
      <c r="AZ63" s="838"/>
      <c r="BA63" s="838"/>
      <c r="BB63" s="838"/>
      <c r="BC63" s="838"/>
      <c r="BD63" s="838"/>
      <c r="BE63" s="838">
        <v>10127</v>
      </c>
      <c r="BF63" s="838"/>
      <c r="BG63" s="838"/>
      <c r="BH63" s="838"/>
      <c r="BI63" s="838"/>
      <c r="BJ63" s="838"/>
    </row>
    <row r="64" spans="3:62" ht="12" customHeight="1">
      <c r="C64" s="389" t="s">
        <v>708</v>
      </c>
      <c r="D64" s="389"/>
      <c r="E64" s="389"/>
      <c r="F64" s="389"/>
      <c r="G64" s="389"/>
      <c r="H64" s="389"/>
      <c r="I64" s="389"/>
      <c r="J64" s="389"/>
      <c r="K64" s="389"/>
      <c r="L64" s="389"/>
      <c r="M64" s="348"/>
      <c r="N64" s="844">
        <v>12</v>
      </c>
      <c r="O64" s="838"/>
      <c r="P64" s="838"/>
      <c r="Q64" s="838"/>
      <c r="R64" s="845"/>
      <c r="S64" s="845"/>
      <c r="T64" s="845"/>
      <c r="U64" s="823">
        <f>SUM(AA64,AG64)</f>
        <v>18</v>
      </c>
      <c r="V64" s="823"/>
      <c r="W64" s="823"/>
      <c r="X64" s="823"/>
      <c r="Y64" s="823"/>
      <c r="Z64" s="823"/>
      <c r="AA64" s="846">
        <v>7</v>
      </c>
      <c r="AB64" s="846"/>
      <c r="AC64" s="846"/>
      <c r="AD64" s="846"/>
      <c r="AE64" s="846"/>
      <c r="AF64" s="846"/>
      <c r="AG64" s="846">
        <v>11</v>
      </c>
      <c r="AH64" s="846"/>
      <c r="AI64" s="846"/>
      <c r="AJ64" s="846"/>
      <c r="AK64" s="846"/>
      <c r="AL64" s="846"/>
      <c r="AM64" s="823">
        <f>SUM(AS64,AY64)</f>
        <v>417</v>
      </c>
      <c r="AN64" s="823"/>
      <c r="AO64" s="823"/>
      <c r="AP64" s="823"/>
      <c r="AQ64" s="823"/>
      <c r="AR64" s="823"/>
      <c r="AS64" s="838">
        <v>209</v>
      </c>
      <c r="AT64" s="838"/>
      <c r="AU64" s="838"/>
      <c r="AV64" s="838"/>
      <c r="AW64" s="838"/>
      <c r="AX64" s="838"/>
      <c r="AY64" s="838">
        <v>208</v>
      </c>
      <c r="AZ64" s="838"/>
      <c r="BA64" s="838"/>
      <c r="BB64" s="838"/>
      <c r="BC64" s="838"/>
      <c r="BD64" s="838"/>
      <c r="BE64" s="838">
        <v>13211</v>
      </c>
      <c r="BF64" s="838"/>
      <c r="BG64" s="838"/>
      <c r="BH64" s="838"/>
      <c r="BI64" s="838"/>
      <c r="BJ64" s="838"/>
    </row>
    <row r="65" spans="2:62" ht="12" customHeight="1">
      <c r="C65" s="389" t="s">
        <v>707</v>
      </c>
      <c r="D65" s="389"/>
      <c r="E65" s="389"/>
      <c r="F65" s="389"/>
      <c r="G65" s="389"/>
      <c r="H65" s="389"/>
      <c r="I65" s="389"/>
      <c r="J65" s="389"/>
      <c r="K65" s="389"/>
      <c r="L65" s="389"/>
      <c r="M65" s="348"/>
      <c r="N65" s="844">
        <v>19</v>
      </c>
      <c r="O65" s="838"/>
      <c r="P65" s="838"/>
      <c r="Q65" s="838"/>
      <c r="R65" s="845">
        <v>-4</v>
      </c>
      <c r="S65" s="845"/>
      <c r="T65" s="845"/>
      <c r="U65" s="823">
        <f>SUM(AA65,AG65)</f>
        <v>31</v>
      </c>
      <c r="V65" s="823"/>
      <c r="W65" s="823"/>
      <c r="X65" s="823"/>
      <c r="Y65" s="823"/>
      <c r="Z65" s="823"/>
      <c r="AA65" s="846">
        <v>11</v>
      </c>
      <c r="AB65" s="846"/>
      <c r="AC65" s="846"/>
      <c r="AD65" s="846"/>
      <c r="AE65" s="846"/>
      <c r="AF65" s="846"/>
      <c r="AG65" s="846">
        <v>20</v>
      </c>
      <c r="AH65" s="846"/>
      <c r="AI65" s="846"/>
      <c r="AJ65" s="846"/>
      <c r="AK65" s="846"/>
      <c r="AL65" s="846"/>
      <c r="AM65" s="823">
        <f>SUM(AS65,AY65)</f>
        <v>664</v>
      </c>
      <c r="AN65" s="823"/>
      <c r="AO65" s="823"/>
      <c r="AP65" s="823"/>
      <c r="AQ65" s="823"/>
      <c r="AR65" s="823"/>
      <c r="AS65" s="838">
        <v>355</v>
      </c>
      <c r="AT65" s="838"/>
      <c r="AU65" s="838"/>
      <c r="AV65" s="838"/>
      <c r="AW65" s="838"/>
      <c r="AX65" s="838"/>
      <c r="AY65" s="838">
        <v>309</v>
      </c>
      <c r="AZ65" s="838"/>
      <c r="BA65" s="838"/>
      <c r="BB65" s="838"/>
      <c r="BC65" s="838"/>
      <c r="BD65" s="838"/>
      <c r="BE65" s="838">
        <v>13460</v>
      </c>
      <c r="BF65" s="838"/>
      <c r="BG65" s="838"/>
      <c r="BH65" s="838"/>
      <c r="BI65" s="838"/>
      <c r="BJ65" s="838"/>
    </row>
    <row r="66" spans="2:62" ht="8.1" customHeight="1">
      <c r="M66" s="6"/>
      <c r="N66" s="350"/>
      <c r="O66" s="322"/>
      <c r="P66" s="322"/>
      <c r="Q66" s="322"/>
      <c r="R66" s="322"/>
      <c r="S66" s="322"/>
      <c r="T66" s="322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S66" s="322"/>
      <c r="AT66" s="322"/>
      <c r="AU66" s="322"/>
      <c r="AV66" s="322"/>
      <c r="AW66" s="322"/>
      <c r="AX66" s="322"/>
      <c r="AY66" s="322"/>
      <c r="AZ66" s="322"/>
      <c r="BA66" s="322"/>
      <c r="BB66" s="322"/>
      <c r="BC66" s="322"/>
      <c r="BD66" s="322"/>
      <c r="BE66" s="322"/>
      <c r="BF66" s="322"/>
      <c r="BG66" s="322"/>
      <c r="BH66" s="322"/>
      <c r="BI66" s="322"/>
      <c r="BJ66" s="322"/>
    </row>
    <row r="67" spans="2:62" ht="12" customHeight="1">
      <c r="C67" s="389" t="s">
        <v>706</v>
      </c>
      <c r="D67" s="389"/>
      <c r="E67" s="389"/>
      <c r="F67" s="389"/>
      <c r="G67" s="389"/>
      <c r="H67" s="389"/>
      <c r="I67" s="389"/>
      <c r="J67" s="389"/>
      <c r="K67" s="389"/>
      <c r="L67" s="389"/>
      <c r="M67" s="348"/>
      <c r="N67" s="844">
        <v>19</v>
      </c>
      <c r="O67" s="838"/>
      <c r="P67" s="838"/>
      <c r="Q67" s="838"/>
      <c r="R67" s="845"/>
      <c r="S67" s="845"/>
      <c r="T67" s="845"/>
      <c r="U67" s="823">
        <f>SUM(AA67,AG67)</f>
        <v>27</v>
      </c>
      <c r="V67" s="823"/>
      <c r="W67" s="823"/>
      <c r="X67" s="823"/>
      <c r="Y67" s="823"/>
      <c r="Z67" s="823"/>
      <c r="AA67" s="846">
        <v>11</v>
      </c>
      <c r="AB67" s="846"/>
      <c r="AC67" s="846"/>
      <c r="AD67" s="846"/>
      <c r="AE67" s="846"/>
      <c r="AF67" s="846"/>
      <c r="AG67" s="846">
        <v>16</v>
      </c>
      <c r="AH67" s="846"/>
      <c r="AI67" s="846"/>
      <c r="AJ67" s="846"/>
      <c r="AK67" s="846"/>
      <c r="AL67" s="846"/>
      <c r="AM67" s="823">
        <f>SUM(AS67,AY67)</f>
        <v>627</v>
      </c>
      <c r="AN67" s="823"/>
      <c r="AO67" s="823"/>
      <c r="AP67" s="823"/>
      <c r="AQ67" s="823"/>
      <c r="AR67" s="823"/>
      <c r="AS67" s="838">
        <v>323</v>
      </c>
      <c r="AT67" s="838"/>
      <c r="AU67" s="838"/>
      <c r="AV67" s="838"/>
      <c r="AW67" s="838"/>
      <c r="AX67" s="838"/>
      <c r="AY67" s="838">
        <v>304</v>
      </c>
      <c r="AZ67" s="838"/>
      <c r="BA67" s="838"/>
      <c r="BB67" s="838"/>
      <c r="BC67" s="838"/>
      <c r="BD67" s="838"/>
      <c r="BE67" s="838">
        <v>14049</v>
      </c>
      <c r="BF67" s="838"/>
      <c r="BG67" s="838"/>
      <c r="BH67" s="838"/>
      <c r="BI67" s="838"/>
      <c r="BJ67" s="838"/>
    </row>
    <row r="68" spans="2:62" ht="12" customHeight="1">
      <c r="C68" s="389" t="s">
        <v>705</v>
      </c>
      <c r="D68" s="389"/>
      <c r="E68" s="389"/>
      <c r="F68" s="389"/>
      <c r="G68" s="389"/>
      <c r="H68" s="389"/>
      <c r="I68" s="389"/>
      <c r="J68" s="389"/>
      <c r="K68" s="389"/>
      <c r="L68" s="389"/>
      <c r="M68" s="348"/>
      <c r="N68" s="844">
        <v>13</v>
      </c>
      <c r="O68" s="838"/>
      <c r="P68" s="838"/>
      <c r="Q68" s="838"/>
      <c r="R68" s="845">
        <v>-9</v>
      </c>
      <c r="S68" s="845"/>
      <c r="T68" s="845"/>
      <c r="U68" s="823">
        <f>SUM(AA68,AG68)</f>
        <v>31</v>
      </c>
      <c r="V68" s="823"/>
      <c r="W68" s="823"/>
      <c r="X68" s="823"/>
      <c r="Y68" s="823"/>
      <c r="Z68" s="823"/>
      <c r="AA68" s="846">
        <v>11</v>
      </c>
      <c r="AB68" s="846"/>
      <c r="AC68" s="846"/>
      <c r="AD68" s="846"/>
      <c r="AE68" s="846"/>
      <c r="AF68" s="846"/>
      <c r="AG68" s="846">
        <v>20</v>
      </c>
      <c r="AH68" s="846"/>
      <c r="AI68" s="846"/>
      <c r="AJ68" s="846"/>
      <c r="AK68" s="846"/>
      <c r="AL68" s="846"/>
      <c r="AM68" s="823">
        <f>SUM(AS68,AY68)</f>
        <v>442</v>
      </c>
      <c r="AN68" s="823"/>
      <c r="AO68" s="823"/>
      <c r="AP68" s="823"/>
      <c r="AQ68" s="823"/>
      <c r="AR68" s="823"/>
      <c r="AS68" s="838">
        <v>232</v>
      </c>
      <c r="AT68" s="838"/>
      <c r="AU68" s="838"/>
      <c r="AV68" s="838"/>
      <c r="AW68" s="838"/>
      <c r="AX68" s="838"/>
      <c r="AY68" s="838">
        <v>210</v>
      </c>
      <c r="AZ68" s="838"/>
      <c r="BA68" s="838"/>
      <c r="BB68" s="838"/>
      <c r="BC68" s="838"/>
      <c r="BD68" s="838"/>
      <c r="BE68" s="838">
        <v>14460</v>
      </c>
      <c r="BF68" s="838"/>
      <c r="BG68" s="838"/>
      <c r="BH68" s="838"/>
      <c r="BI68" s="838"/>
      <c r="BJ68" s="838"/>
    </row>
    <row r="69" spans="2:62" ht="12" customHeight="1">
      <c r="C69" s="389" t="s">
        <v>704</v>
      </c>
      <c r="D69" s="389"/>
      <c r="E69" s="389"/>
      <c r="F69" s="389"/>
      <c r="G69" s="389"/>
      <c r="H69" s="389"/>
      <c r="I69" s="389"/>
      <c r="J69" s="389"/>
      <c r="K69" s="389"/>
      <c r="L69" s="389"/>
      <c r="M69" s="348"/>
      <c r="N69" s="844">
        <v>13</v>
      </c>
      <c r="O69" s="838"/>
      <c r="P69" s="838"/>
      <c r="Q69" s="838"/>
      <c r="R69" s="845"/>
      <c r="S69" s="845"/>
      <c r="T69" s="845"/>
      <c r="U69" s="823">
        <f>SUM(AA69,AG69)</f>
        <v>19</v>
      </c>
      <c r="V69" s="823"/>
      <c r="W69" s="823"/>
      <c r="X69" s="823"/>
      <c r="Y69" s="823"/>
      <c r="Z69" s="823"/>
      <c r="AA69" s="846">
        <v>8</v>
      </c>
      <c r="AB69" s="846"/>
      <c r="AC69" s="846"/>
      <c r="AD69" s="846"/>
      <c r="AE69" s="846"/>
      <c r="AF69" s="846"/>
      <c r="AG69" s="846">
        <v>11</v>
      </c>
      <c r="AH69" s="846"/>
      <c r="AI69" s="846"/>
      <c r="AJ69" s="846"/>
      <c r="AK69" s="846"/>
      <c r="AL69" s="846"/>
      <c r="AM69" s="823">
        <f>SUM(AS69,AY69)</f>
        <v>377</v>
      </c>
      <c r="AN69" s="823"/>
      <c r="AO69" s="823"/>
      <c r="AP69" s="823"/>
      <c r="AQ69" s="823"/>
      <c r="AR69" s="823"/>
      <c r="AS69" s="838">
        <v>180</v>
      </c>
      <c r="AT69" s="838"/>
      <c r="AU69" s="838"/>
      <c r="AV69" s="838"/>
      <c r="AW69" s="838"/>
      <c r="AX69" s="838"/>
      <c r="AY69" s="838">
        <v>197</v>
      </c>
      <c r="AZ69" s="838"/>
      <c r="BA69" s="838"/>
      <c r="BB69" s="838"/>
      <c r="BC69" s="838"/>
      <c r="BD69" s="838"/>
      <c r="BE69" s="838">
        <v>11359</v>
      </c>
      <c r="BF69" s="838"/>
      <c r="BG69" s="838"/>
      <c r="BH69" s="838"/>
      <c r="BI69" s="838"/>
      <c r="BJ69" s="838"/>
    </row>
    <row r="70" spans="2:62" ht="12" customHeight="1">
      <c r="C70" s="389" t="s">
        <v>703</v>
      </c>
      <c r="D70" s="389"/>
      <c r="E70" s="389"/>
      <c r="F70" s="389"/>
      <c r="G70" s="389"/>
      <c r="H70" s="389"/>
      <c r="I70" s="389"/>
      <c r="J70" s="389"/>
      <c r="K70" s="389"/>
      <c r="L70" s="389"/>
      <c r="M70" s="348"/>
      <c r="N70" s="844">
        <v>22</v>
      </c>
      <c r="O70" s="838"/>
      <c r="P70" s="838"/>
      <c r="Q70" s="838"/>
      <c r="R70" s="845"/>
      <c r="S70" s="845"/>
      <c r="T70" s="845"/>
      <c r="U70" s="823">
        <f>SUM(AA70,AG70)</f>
        <v>30</v>
      </c>
      <c r="V70" s="823"/>
      <c r="W70" s="823"/>
      <c r="X70" s="823"/>
      <c r="Y70" s="823"/>
      <c r="Z70" s="823"/>
      <c r="AA70" s="846">
        <v>12</v>
      </c>
      <c r="AB70" s="846"/>
      <c r="AC70" s="846"/>
      <c r="AD70" s="846"/>
      <c r="AE70" s="846"/>
      <c r="AF70" s="846"/>
      <c r="AG70" s="846">
        <v>18</v>
      </c>
      <c r="AH70" s="846"/>
      <c r="AI70" s="846"/>
      <c r="AJ70" s="846"/>
      <c r="AK70" s="846"/>
      <c r="AL70" s="846"/>
      <c r="AM70" s="823">
        <f>SUM(AS70,AY70)</f>
        <v>756</v>
      </c>
      <c r="AN70" s="823"/>
      <c r="AO70" s="823"/>
      <c r="AP70" s="823"/>
      <c r="AQ70" s="823"/>
      <c r="AR70" s="823"/>
      <c r="AS70" s="838">
        <v>389</v>
      </c>
      <c r="AT70" s="838"/>
      <c r="AU70" s="838"/>
      <c r="AV70" s="838"/>
      <c r="AW70" s="838"/>
      <c r="AX70" s="838"/>
      <c r="AY70" s="838">
        <v>367</v>
      </c>
      <c r="AZ70" s="838"/>
      <c r="BA70" s="838"/>
      <c r="BB70" s="838"/>
      <c r="BC70" s="838"/>
      <c r="BD70" s="838"/>
      <c r="BE70" s="838">
        <v>12129</v>
      </c>
      <c r="BF70" s="838"/>
      <c r="BG70" s="838"/>
      <c r="BH70" s="838"/>
      <c r="BI70" s="838"/>
      <c r="BJ70" s="838"/>
    </row>
    <row r="71" spans="2:62" ht="12" customHeight="1">
      <c r="C71" s="389" t="s">
        <v>702</v>
      </c>
      <c r="D71" s="389"/>
      <c r="E71" s="389"/>
      <c r="F71" s="389"/>
      <c r="G71" s="389"/>
      <c r="H71" s="389"/>
      <c r="I71" s="389"/>
      <c r="J71" s="389"/>
      <c r="K71" s="389"/>
      <c r="L71" s="389"/>
      <c r="M71" s="348"/>
      <c r="N71" s="844">
        <v>20</v>
      </c>
      <c r="O71" s="838"/>
      <c r="P71" s="838"/>
      <c r="Q71" s="838"/>
      <c r="R71" s="845">
        <v>-1</v>
      </c>
      <c r="S71" s="845"/>
      <c r="T71" s="845"/>
      <c r="U71" s="823">
        <f>SUM(AA71,AG71)</f>
        <v>29</v>
      </c>
      <c r="V71" s="823"/>
      <c r="W71" s="823"/>
      <c r="X71" s="823"/>
      <c r="Y71" s="823"/>
      <c r="Z71" s="823"/>
      <c r="AA71" s="846">
        <v>12</v>
      </c>
      <c r="AB71" s="846"/>
      <c r="AC71" s="846"/>
      <c r="AD71" s="846"/>
      <c r="AE71" s="846"/>
      <c r="AF71" s="846"/>
      <c r="AG71" s="846">
        <v>17</v>
      </c>
      <c r="AH71" s="846"/>
      <c r="AI71" s="846"/>
      <c r="AJ71" s="846"/>
      <c r="AK71" s="846"/>
      <c r="AL71" s="846"/>
      <c r="AM71" s="823">
        <f>SUM(AS71,AY71)</f>
        <v>637</v>
      </c>
      <c r="AN71" s="823"/>
      <c r="AO71" s="823"/>
      <c r="AP71" s="823"/>
      <c r="AQ71" s="823"/>
      <c r="AR71" s="823"/>
      <c r="AS71" s="838">
        <v>342</v>
      </c>
      <c r="AT71" s="838"/>
      <c r="AU71" s="838"/>
      <c r="AV71" s="838"/>
      <c r="AW71" s="838"/>
      <c r="AX71" s="838"/>
      <c r="AY71" s="838">
        <v>295</v>
      </c>
      <c r="AZ71" s="838"/>
      <c r="BA71" s="838"/>
      <c r="BB71" s="838"/>
      <c r="BC71" s="838"/>
      <c r="BD71" s="838"/>
      <c r="BE71" s="838">
        <v>14425</v>
      </c>
      <c r="BF71" s="838"/>
      <c r="BG71" s="838"/>
      <c r="BH71" s="838"/>
      <c r="BI71" s="838"/>
      <c r="BJ71" s="838"/>
    </row>
    <row r="72" spans="2:62" ht="8.1" customHeight="1">
      <c r="M72" s="6"/>
      <c r="N72" s="350"/>
      <c r="O72" s="322"/>
      <c r="P72" s="322"/>
      <c r="Q72" s="322"/>
      <c r="R72" s="322"/>
      <c r="S72" s="322"/>
      <c r="T72" s="322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S72" s="322"/>
      <c r="AT72" s="322"/>
      <c r="AU72" s="322"/>
      <c r="AV72" s="322"/>
      <c r="AW72" s="322"/>
      <c r="AX72" s="322"/>
      <c r="AY72" s="322"/>
      <c r="AZ72" s="322"/>
      <c r="BA72" s="322"/>
      <c r="BB72" s="322"/>
      <c r="BC72" s="322"/>
      <c r="BD72" s="322"/>
      <c r="BE72" s="322"/>
      <c r="BF72" s="322"/>
      <c r="BG72" s="322"/>
      <c r="BH72" s="322"/>
      <c r="BI72" s="322"/>
      <c r="BJ72" s="322"/>
    </row>
    <row r="73" spans="2:62" ht="12" customHeight="1">
      <c r="C73" s="389" t="s">
        <v>701</v>
      </c>
      <c r="D73" s="389"/>
      <c r="E73" s="389"/>
      <c r="F73" s="389"/>
      <c r="G73" s="389"/>
      <c r="H73" s="389"/>
      <c r="I73" s="389"/>
      <c r="J73" s="389"/>
      <c r="K73" s="389"/>
      <c r="L73" s="389"/>
      <c r="M73" s="348"/>
      <c r="N73" s="844">
        <v>21</v>
      </c>
      <c r="O73" s="838"/>
      <c r="P73" s="838"/>
      <c r="Q73" s="838"/>
      <c r="R73" s="845"/>
      <c r="S73" s="845"/>
      <c r="T73" s="845"/>
      <c r="U73" s="823">
        <f>SUM(AA73,AG73)</f>
        <v>28</v>
      </c>
      <c r="V73" s="823"/>
      <c r="W73" s="823"/>
      <c r="X73" s="823"/>
      <c r="Y73" s="823"/>
      <c r="Z73" s="823"/>
      <c r="AA73" s="846">
        <v>9</v>
      </c>
      <c r="AB73" s="846"/>
      <c r="AC73" s="846"/>
      <c r="AD73" s="846"/>
      <c r="AE73" s="846"/>
      <c r="AF73" s="846"/>
      <c r="AG73" s="846">
        <v>19</v>
      </c>
      <c r="AH73" s="846"/>
      <c r="AI73" s="846"/>
      <c r="AJ73" s="846"/>
      <c r="AK73" s="846"/>
      <c r="AL73" s="846"/>
      <c r="AM73" s="823">
        <f>SUM(AS73,AY73)</f>
        <v>695</v>
      </c>
      <c r="AN73" s="823"/>
      <c r="AO73" s="823"/>
      <c r="AP73" s="823"/>
      <c r="AQ73" s="823"/>
      <c r="AR73" s="823"/>
      <c r="AS73" s="838">
        <v>315</v>
      </c>
      <c r="AT73" s="838"/>
      <c r="AU73" s="838"/>
      <c r="AV73" s="838"/>
      <c r="AW73" s="838"/>
      <c r="AX73" s="838"/>
      <c r="AY73" s="838">
        <v>380</v>
      </c>
      <c r="AZ73" s="838"/>
      <c r="BA73" s="838"/>
      <c r="BB73" s="838"/>
      <c r="BC73" s="838"/>
      <c r="BD73" s="838"/>
      <c r="BE73" s="838">
        <v>15372</v>
      </c>
      <c r="BF73" s="838"/>
      <c r="BG73" s="838"/>
      <c r="BH73" s="838"/>
      <c r="BI73" s="838"/>
      <c r="BJ73" s="838"/>
    </row>
    <row r="74" spans="2:62" ht="12" customHeight="1">
      <c r="C74" s="389" t="s">
        <v>700</v>
      </c>
      <c r="D74" s="389"/>
      <c r="E74" s="389"/>
      <c r="F74" s="389"/>
      <c r="G74" s="389"/>
      <c r="H74" s="389"/>
      <c r="I74" s="389"/>
      <c r="J74" s="389"/>
      <c r="K74" s="389"/>
      <c r="L74" s="389"/>
      <c r="M74" s="348"/>
      <c r="N74" s="844">
        <v>17</v>
      </c>
      <c r="O74" s="838"/>
      <c r="P74" s="838"/>
      <c r="Q74" s="838"/>
      <c r="R74" s="845"/>
      <c r="S74" s="845"/>
      <c r="T74" s="845"/>
      <c r="U74" s="823">
        <f>SUM(AA74,AG74)</f>
        <v>24</v>
      </c>
      <c r="V74" s="823"/>
      <c r="W74" s="823"/>
      <c r="X74" s="823"/>
      <c r="Y74" s="823"/>
      <c r="Z74" s="823"/>
      <c r="AA74" s="846">
        <v>8</v>
      </c>
      <c r="AB74" s="846"/>
      <c r="AC74" s="846"/>
      <c r="AD74" s="846"/>
      <c r="AE74" s="846"/>
      <c r="AF74" s="846"/>
      <c r="AG74" s="846">
        <v>16</v>
      </c>
      <c r="AH74" s="846"/>
      <c r="AI74" s="846"/>
      <c r="AJ74" s="846"/>
      <c r="AK74" s="846"/>
      <c r="AL74" s="846"/>
      <c r="AM74" s="823">
        <f>SUM(AS74,AY74)</f>
        <v>520</v>
      </c>
      <c r="AN74" s="823"/>
      <c r="AO74" s="823"/>
      <c r="AP74" s="823"/>
      <c r="AQ74" s="823"/>
      <c r="AR74" s="823"/>
      <c r="AS74" s="838">
        <v>274</v>
      </c>
      <c r="AT74" s="838"/>
      <c r="AU74" s="838"/>
      <c r="AV74" s="838"/>
      <c r="AW74" s="838"/>
      <c r="AX74" s="838"/>
      <c r="AY74" s="838">
        <v>246</v>
      </c>
      <c r="AZ74" s="838"/>
      <c r="BA74" s="838"/>
      <c r="BB74" s="838"/>
      <c r="BC74" s="838"/>
      <c r="BD74" s="838"/>
      <c r="BE74" s="838">
        <v>9905</v>
      </c>
      <c r="BF74" s="838"/>
      <c r="BG74" s="838"/>
      <c r="BH74" s="838"/>
      <c r="BI74" s="838"/>
      <c r="BJ74" s="838"/>
    </row>
    <row r="75" spans="2:62" ht="12" customHeight="1">
      <c r="C75" s="389" t="s">
        <v>699</v>
      </c>
      <c r="D75" s="389"/>
      <c r="E75" s="389"/>
      <c r="F75" s="389"/>
      <c r="G75" s="389"/>
      <c r="H75" s="389"/>
      <c r="I75" s="389"/>
      <c r="J75" s="389"/>
      <c r="K75" s="389"/>
      <c r="L75" s="389"/>
      <c r="M75" s="348"/>
      <c r="N75" s="844">
        <v>20</v>
      </c>
      <c r="O75" s="838"/>
      <c r="P75" s="838"/>
      <c r="Q75" s="838"/>
      <c r="R75" s="845">
        <v>-3</v>
      </c>
      <c r="S75" s="845"/>
      <c r="T75" s="845"/>
      <c r="U75" s="823">
        <f>SUM(AA75,AG75)</f>
        <v>32</v>
      </c>
      <c r="V75" s="823"/>
      <c r="W75" s="823"/>
      <c r="X75" s="823"/>
      <c r="Y75" s="823"/>
      <c r="Z75" s="823"/>
      <c r="AA75" s="846">
        <v>12</v>
      </c>
      <c r="AB75" s="846"/>
      <c r="AC75" s="846"/>
      <c r="AD75" s="846"/>
      <c r="AE75" s="846"/>
      <c r="AF75" s="846"/>
      <c r="AG75" s="846">
        <v>20</v>
      </c>
      <c r="AH75" s="846"/>
      <c r="AI75" s="846"/>
      <c r="AJ75" s="846"/>
      <c r="AK75" s="846"/>
      <c r="AL75" s="846"/>
      <c r="AM75" s="823">
        <f>SUM(AS75,AY75)</f>
        <v>688</v>
      </c>
      <c r="AN75" s="823"/>
      <c r="AO75" s="823"/>
      <c r="AP75" s="823"/>
      <c r="AQ75" s="823"/>
      <c r="AR75" s="823"/>
      <c r="AS75" s="838">
        <v>369</v>
      </c>
      <c r="AT75" s="838"/>
      <c r="AU75" s="838"/>
      <c r="AV75" s="838"/>
      <c r="AW75" s="838"/>
      <c r="AX75" s="838"/>
      <c r="AY75" s="838">
        <v>319</v>
      </c>
      <c r="AZ75" s="838"/>
      <c r="BA75" s="838"/>
      <c r="BB75" s="838"/>
      <c r="BC75" s="838"/>
      <c r="BD75" s="838"/>
      <c r="BE75" s="838">
        <v>15274</v>
      </c>
      <c r="BF75" s="838"/>
      <c r="BG75" s="838"/>
      <c r="BH75" s="838"/>
      <c r="BI75" s="838"/>
      <c r="BJ75" s="838"/>
    </row>
    <row r="76" spans="2:62" ht="12" customHeight="1">
      <c r="C76" s="389" t="s">
        <v>698</v>
      </c>
      <c r="D76" s="389"/>
      <c r="E76" s="389"/>
      <c r="F76" s="389"/>
      <c r="G76" s="389"/>
      <c r="H76" s="389"/>
      <c r="I76" s="389"/>
      <c r="J76" s="389"/>
      <c r="K76" s="389"/>
      <c r="L76" s="389"/>
      <c r="M76" s="348"/>
      <c r="N76" s="844">
        <v>12</v>
      </c>
      <c r="O76" s="838"/>
      <c r="P76" s="838"/>
      <c r="Q76" s="838"/>
      <c r="R76" s="845"/>
      <c r="S76" s="845"/>
      <c r="T76" s="845"/>
      <c r="U76" s="823">
        <f>SUM(AA76,AG76)</f>
        <v>18</v>
      </c>
      <c r="V76" s="823"/>
      <c r="W76" s="823"/>
      <c r="X76" s="823"/>
      <c r="Y76" s="823"/>
      <c r="Z76" s="823"/>
      <c r="AA76" s="846">
        <v>7</v>
      </c>
      <c r="AB76" s="846"/>
      <c r="AC76" s="846"/>
      <c r="AD76" s="846"/>
      <c r="AE76" s="846"/>
      <c r="AF76" s="846"/>
      <c r="AG76" s="846">
        <v>11</v>
      </c>
      <c r="AH76" s="846"/>
      <c r="AI76" s="846"/>
      <c r="AJ76" s="846"/>
      <c r="AK76" s="846"/>
      <c r="AL76" s="846"/>
      <c r="AM76" s="823">
        <f>SUM(AS76,AY76)</f>
        <v>325</v>
      </c>
      <c r="AN76" s="823"/>
      <c r="AO76" s="823"/>
      <c r="AP76" s="823"/>
      <c r="AQ76" s="823"/>
      <c r="AR76" s="823"/>
      <c r="AS76" s="838">
        <v>170</v>
      </c>
      <c r="AT76" s="838"/>
      <c r="AU76" s="838"/>
      <c r="AV76" s="838"/>
      <c r="AW76" s="838"/>
      <c r="AX76" s="838"/>
      <c r="AY76" s="838">
        <v>155</v>
      </c>
      <c r="AZ76" s="838"/>
      <c r="BA76" s="838"/>
      <c r="BB76" s="838"/>
      <c r="BC76" s="838"/>
      <c r="BD76" s="838"/>
      <c r="BE76" s="838">
        <v>12179</v>
      </c>
      <c r="BF76" s="838"/>
      <c r="BG76" s="838"/>
      <c r="BH76" s="838"/>
      <c r="BI76" s="838"/>
      <c r="BJ76" s="838"/>
    </row>
    <row r="77" spans="2:62" ht="12" customHeight="1">
      <c r="C77" s="389" t="s">
        <v>697</v>
      </c>
      <c r="D77" s="389"/>
      <c r="E77" s="389"/>
      <c r="F77" s="389"/>
      <c r="G77" s="389"/>
      <c r="H77" s="389"/>
      <c r="I77" s="389"/>
      <c r="J77" s="389"/>
      <c r="K77" s="389"/>
      <c r="L77" s="389"/>
      <c r="M77" s="348"/>
      <c r="N77" s="844">
        <v>21</v>
      </c>
      <c r="O77" s="838"/>
      <c r="P77" s="838"/>
      <c r="Q77" s="838"/>
      <c r="R77" s="845"/>
      <c r="S77" s="845"/>
      <c r="T77" s="845"/>
      <c r="U77" s="823">
        <f>SUM(AA77,AG77)</f>
        <v>28</v>
      </c>
      <c r="V77" s="823"/>
      <c r="W77" s="823"/>
      <c r="X77" s="823"/>
      <c r="Y77" s="823"/>
      <c r="Z77" s="823"/>
      <c r="AA77" s="846">
        <v>7</v>
      </c>
      <c r="AB77" s="846"/>
      <c r="AC77" s="846"/>
      <c r="AD77" s="846"/>
      <c r="AE77" s="846"/>
      <c r="AF77" s="846"/>
      <c r="AG77" s="846">
        <v>21</v>
      </c>
      <c r="AH77" s="846"/>
      <c r="AI77" s="846"/>
      <c r="AJ77" s="846"/>
      <c r="AK77" s="846"/>
      <c r="AL77" s="846"/>
      <c r="AM77" s="823">
        <f>SUM(AS77,AY77)</f>
        <v>696</v>
      </c>
      <c r="AN77" s="823"/>
      <c r="AO77" s="823"/>
      <c r="AP77" s="823"/>
      <c r="AQ77" s="823"/>
      <c r="AR77" s="823"/>
      <c r="AS77" s="838">
        <v>345</v>
      </c>
      <c r="AT77" s="838"/>
      <c r="AU77" s="838"/>
      <c r="AV77" s="838"/>
      <c r="AW77" s="838"/>
      <c r="AX77" s="838"/>
      <c r="AY77" s="838">
        <v>351</v>
      </c>
      <c r="AZ77" s="838"/>
      <c r="BA77" s="838"/>
      <c r="BB77" s="838"/>
      <c r="BC77" s="838"/>
      <c r="BD77" s="838"/>
      <c r="BE77" s="712">
        <v>12403</v>
      </c>
      <c r="BF77" s="712"/>
      <c r="BG77" s="712"/>
      <c r="BH77" s="712"/>
      <c r="BI77" s="712"/>
      <c r="BJ77" s="712"/>
    </row>
    <row r="78" spans="2:62" ht="8.1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2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</row>
    <row r="79" spans="2:62" ht="12" customHeight="1"/>
    <row r="85" spans="3:62">
      <c r="C85" s="840" t="s">
        <v>696</v>
      </c>
      <c r="D85" s="840"/>
      <c r="E85" s="840"/>
      <c r="F85" s="840"/>
      <c r="G85" s="840"/>
      <c r="H85" s="840"/>
      <c r="I85" s="840"/>
      <c r="J85" s="840"/>
      <c r="K85" s="840"/>
      <c r="L85" s="840"/>
      <c r="M85" s="347"/>
      <c r="N85" s="839">
        <f>SUM(N13:Q77)</f>
        <v>883</v>
      </c>
      <c r="O85" s="839"/>
      <c r="P85" s="839"/>
      <c r="Q85" s="839"/>
      <c r="R85" s="841">
        <f>SUM(R13:T77)</f>
        <v>-77</v>
      </c>
      <c r="S85" s="841"/>
      <c r="T85" s="841"/>
      <c r="U85" s="839">
        <f>SUM(U13:Z77)</f>
        <v>1360</v>
      </c>
      <c r="V85" s="839"/>
      <c r="W85" s="839"/>
      <c r="X85" s="839"/>
      <c r="Y85" s="839"/>
      <c r="Z85" s="839"/>
      <c r="AA85" s="839">
        <f>SUM(AA13:AF77)</f>
        <v>482</v>
      </c>
      <c r="AB85" s="839"/>
      <c r="AC85" s="839"/>
      <c r="AD85" s="839"/>
      <c r="AE85" s="839"/>
      <c r="AF85" s="839"/>
      <c r="AG85" s="839">
        <f>SUM(AG13:AL77)</f>
        <v>878</v>
      </c>
      <c r="AH85" s="839"/>
      <c r="AI85" s="839"/>
      <c r="AJ85" s="839"/>
      <c r="AK85" s="839"/>
      <c r="AL85" s="839"/>
      <c r="AM85" s="839">
        <f>SUM(AM13:AR77)</f>
        <v>27956</v>
      </c>
      <c r="AN85" s="839"/>
      <c r="AO85" s="839"/>
      <c r="AP85" s="839"/>
      <c r="AQ85" s="839"/>
      <c r="AR85" s="839"/>
      <c r="AS85" s="839">
        <f>SUM(AS13:AX77)</f>
        <v>14504</v>
      </c>
      <c r="AT85" s="839"/>
      <c r="AU85" s="839"/>
      <c r="AV85" s="839"/>
      <c r="AW85" s="839"/>
      <c r="AX85" s="839"/>
      <c r="AY85" s="839">
        <f>SUM(AY13:BD77)</f>
        <v>13452</v>
      </c>
      <c r="AZ85" s="839"/>
      <c r="BA85" s="839"/>
      <c r="BB85" s="839"/>
      <c r="BC85" s="839"/>
      <c r="BD85" s="839"/>
      <c r="BE85" s="839">
        <f>SUM(BE13:BJ77)</f>
        <v>679524</v>
      </c>
      <c r="BF85" s="839"/>
      <c r="BG85" s="839"/>
      <c r="BH85" s="839"/>
      <c r="BI85" s="839"/>
      <c r="BJ85" s="839"/>
    </row>
    <row r="86" spans="3:62">
      <c r="C86" s="840" t="s">
        <v>695</v>
      </c>
      <c r="D86" s="840"/>
      <c r="E86" s="840"/>
      <c r="F86" s="840"/>
      <c r="G86" s="840"/>
      <c r="H86" s="840"/>
      <c r="I86" s="840"/>
      <c r="J86" s="840"/>
      <c r="K86" s="840"/>
      <c r="L86" s="840"/>
      <c r="M86" s="347"/>
      <c r="N86" s="839">
        <f>SUM('208'!N11:Q21)</f>
        <v>155</v>
      </c>
      <c r="O86" s="839"/>
      <c r="P86" s="839"/>
      <c r="Q86" s="839"/>
      <c r="R86" s="841">
        <f>SUM('208'!R11:T21)</f>
        <v>-7</v>
      </c>
      <c r="S86" s="841"/>
      <c r="T86" s="841"/>
      <c r="U86" s="839">
        <f>SUM('208'!U11:Z21)</f>
        <v>230</v>
      </c>
      <c r="V86" s="839"/>
      <c r="W86" s="839"/>
      <c r="X86" s="839"/>
      <c r="Y86" s="839"/>
      <c r="Z86" s="839"/>
      <c r="AA86" s="839">
        <f>SUM('208'!AA11:AF21)</f>
        <v>87</v>
      </c>
      <c r="AB86" s="839"/>
      <c r="AC86" s="839"/>
      <c r="AD86" s="839"/>
      <c r="AE86" s="839"/>
      <c r="AF86" s="839"/>
      <c r="AG86" s="839">
        <f>SUM('208'!AG11:AL21)</f>
        <v>143</v>
      </c>
      <c r="AH86" s="839"/>
      <c r="AI86" s="839"/>
      <c r="AJ86" s="839"/>
      <c r="AK86" s="839"/>
      <c r="AL86" s="839"/>
      <c r="AM86" s="839">
        <f>SUM('208'!AM11:AR21)</f>
        <v>4884</v>
      </c>
      <c r="AN86" s="839"/>
      <c r="AO86" s="839"/>
      <c r="AP86" s="839"/>
      <c r="AQ86" s="839"/>
      <c r="AR86" s="839"/>
      <c r="AS86" s="839">
        <f>SUM('208'!AS11:AX21)</f>
        <v>2501</v>
      </c>
      <c r="AT86" s="839"/>
      <c r="AU86" s="839"/>
      <c r="AV86" s="839"/>
      <c r="AW86" s="839"/>
      <c r="AX86" s="839"/>
      <c r="AY86" s="839">
        <f>SUM('208'!AY11:BD21)</f>
        <v>2383</v>
      </c>
      <c r="AZ86" s="839"/>
      <c r="BA86" s="839"/>
      <c r="BB86" s="839"/>
      <c r="BC86" s="839"/>
      <c r="BD86" s="839"/>
      <c r="BE86" s="839">
        <f>SUM('208'!BE11:BJ21)</f>
        <v>110062</v>
      </c>
      <c r="BF86" s="839"/>
      <c r="BG86" s="839"/>
      <c r="BH86" s="839"/>
      <c r="BI86" s="839"/>
      <c r="BJ86" s="839"/>
    </row>
  </sheetData>
  <mergeCells count="595">
    <mergeCell ref="AA77:AF77"/>
    <mergeCell ref="AG77:AL77"/>
    <mergeCell ref="AY75:BD75"/>
    <mergeCell ref="BE75:BJ75"/>
    <mergeCell ref="C76:L76"/>
    <mergeCell ref="N76:Q76"/>
    <mergeCell ref="R76:T76"/>
    <mergeCell ref="U76:Z76"/>
    <mergeCell ref="AA76:AF76"/>
    <mergeCell ref="AG76:AL76"/>
    <mergeCell ref="AM76:AR76"/>
    <mergeCell ref="AS76:AX76"/>
    <mergeCell ref="AM75:AR75"/>
    <mergeCell ref="AS75:AX75"/>
    <mergeCell ref="AM77:AR77"/>
    <mergeCell ref="AS77:AX77"/>
    <mergeCell ref="BE73:BJ73"/>
    <mergeCell ref="C74:L74"/>
    <mergeCell ref="N74:Q74"/>
    <mergeCell ref="R74:T74"/>
    <mergeCell ref="U74:Z74"/>
    <mergeCell ref="AA74:AF74"/>
    <mergeCell ref="C75:L75"/>
    <mergeCell ref="N75:Q75"/>
    <mergeCell ref="R75:T75"/>
    <mergeCell ref="U75:Z75"/>
    <mergeCell ref="AA75:AF75"/>
    <mergeCell ref="AG75:AL75"/>
    <mergeCell ref="AY77:BD77"/>
    <mergeCell ref="BE77:BJ77"/>
    <mergeCell ref="AY76:BD76"/>
    <mergeCell ref="BE76:BJ76"/>
    <mergeCell ref="C77:L77"/>
    <mergeCell ref="N77:Q77"/>
    <mergeCell ref="R77:T77"/>
    <mergeCell ref="U77:Z77"/>
    <mergeCell ref="AG74:AL74"/>
    <mergeCell ref="AM74:AR74"/>
    <mergeCell ref="AS74:AX74"/>
    <mergeCell ref="AY74:BD74"/>
    <mergeCell ref="BE74:BJ74"/>
    <mergeCell ref="C73:L73"/>
    <mergeCell ref="N73:Q73"/>
    <mergeCell ref="R73:T73"/>
    <mergeCell ref="U73:Z73"/>
    <mergeCell ref="AA73:AF73"/>
    <mergeCell ref="AG73:AL73"/>
    <mergeCell ref="AM73:AR73"/>
    <mergeCell ref="AS73:AX73"/>
    <mergeCell ref="AY73:BD73"/>
    <mergeCell ref="BE70:BJ70"/>
    <mergeCell ref="C71:L71"/>
    <mergeCell ref="N71:Q71"/>
    <mergeCell ref="R71:T71"/>
    <mergeCell ref="U71:Z71"/>
    <mergeCell ref="AA71:AF71"/>
    <mergeCell ref="AG71:AL71"/>
    <mergeCell ref="AM71:AR71"/>
    <mergeCell ref="AS71:AX71"/>
    <mergeCell ref="AY71:BD71"/>
    <mergeCell ref="BE71:BJ71"/>
    <mergeCell ref="C70:L70"/>
    <mergeCell ref="N70:Q70"/>
    <mergeCell ref="R70:T70"/>
    <mergeCell ref="U70:Z70"/>
    <mergeCell ref="AA70:AF70"/>
    <mergeCell ref="AG70:AL70"/>
    <mergeCell ref="AM70:AR70"/>
    <mergeCell ref="AS70:AX70"/>
    <mergeCell ref="AY70:BD70"/>
    <mergeCell ref="BE68:BJ68"/>
    <mergeCell ref="C69:L69"/>
    <mergeCell ref="N69:Q69"/>
    <mergeCell ref="R69:T69"/>
    <mergeCell ref="U69:Z69"/>
    <mergeCell ref="AA69:AF69"/>
    <mergeCell ref="AG69:AL69"/>
    <mergeCell ref="AM69:AR69"/>
    <mergeCell ref="AS69:AX69"/>
    <mergeCell ref="AY69:BD69"/>
    <mergeCell ref="BE69:BJ69"/>
    <mergeCell ref="C68:L68"/>
    <mergeCell ref="N68:Q68"/>
    <mergeCell ref="R68:T68"/>
    <mergeCell ref="U68:Z68"/>
    <mergeCell ref="AA68:AF68"/>
    <mergeCell ref="AG68:AL68"/>
    <mergeCell ref="AM68:AR68"/>
    <mergeCell ref="AS68:AX68"/>
    <mergeCell ref="AY68:BD68"/>
    <mergeCell ref="BE65:BJ65"/>
    <mergeCell ref="C67:L67"/>
    <mergeCell ref="N67:Q67"/>
    <mergeCell ref="R67:T67"/>
    <mergeCell ref="U67:Z67"/>
    <mergeCell ref="AA67:AF67"/>
    <mergeCell ref="AG67:AL67"/>
    <mergeCell ref="AM67:AR67"/>
    <mergeCell ref="AS67:AX67"/>
    <mergeCell ref="AY67:BD67"/>
    <mergeCell ref="BE67:BJ67"/>
    <mergeCell ref="C65:L65"/>
    <mergeCell ref="N65:Q65"/>
    <mergeCell ref="R65:T65"/>
    <mergeCell ref="U65:Z65"/>
    <mergeCell ref="AA65:AF65"/>
    <mergeCell ref="AG65:AL65"/>
    <mergeCell ref="AM65:AR65"/>
    <mergeCell ref="AS65:AX65"/>
    <mergeCell ref="AY65:BD65"/>
    <mergeCell ref="BE63:BJ63"/>
    <mergeCell ref="C64:L64"/>
    <mergeCell ref="N64:Q64"/>
    <mergeCell ref="R64:T64"/>
    <mergeCell ref="U64:Z64"/>
    <mergeCell ref="AA64:AF64"/>
    <mergeCell ref="AG64:AL64"/>
    <mergeCell ref="AM64:AR64"/>
    <mergeCell ref="AS64:AX64"/>
    <mergeCell ref="AY64:BD64"/>
    <mergeCell ref="BE64:BJ64"/>
    <mergeCell ref="C63:L63"/>
    <mergeCell ref="N63:Q63"/>
    <mergeCell ref="R63:T63"/>
    <mergeCell ref="U63:Z63"/>
    <mergeCell ref="AA63:AF63"/>
    <mergeCell ref="AG63:AL63"/>
    <mergeCell ref="AM63:AR63"/>
    <mergeCell ref="AS63:AX63"/>
    <mergeCell ref="AY63:BD63"/>
    <mergeCell ref="BE61:BJ61"/>
    <mergeCell ref="C62:L62"/>
    <mergeCell ref="N62:Q62"/>
    <mergeCell ref="R62:T62"/>
    <mergeCell ref="U62:Z62"/>
    <mergeCell ref="AA62:AF62"/>
    <mergeCell ref="AG62:AL62"/>
    <mergeCell ref="AM62:AR62"/>
    <mergeCell ref="AS62:AX62"/>
    <mergeCell ref="AY62:BD62"/>
    <mergeCell ref="BE62:BJ62"/>
    <mergeCell ref="C61:L61"/>
    <mergeCell ref="N61:Q61"/>
    <mergeCell ref="R61:T61"/>
    <mergeCell ref="U61:Z61"/>
    <mergeCell ref="AA61:AF61"/>
    <mergeCell ref="AG61:AL61"/>
    <mergeCell ref="AM61:AR61"/>
    <mergeCell ref="AS61:AX61"/>
    <mergeCell ref="AY61:BD61"/>
    <mergeCell ref="BE58:BJ58"/>
    <mergeCell ref="C59:L59"/>
    <mergeCell ref="N59:Q59"/>
    <mergeCell ref="R59:T59"/>
    <mergeCell ref="U59:Z59"/>
    <mergeCell ref="AA59:AF59"/>
    <mergeCell ref="AG59:AL59"/>
    <mergeCell ref="AM59:AR59"/>
    <mergeCell ref="AS59:AX59"/>
    <mergeCell ref="AY59:BD59"/>
    <mergeCell ref="BE59:BJ59"/>
    <mergeCell ref="C58:L58"/>
    <mergeCell ref="N58:Q58"/>
    <mergeCell ref="R58:T58"/>
    <mergeCell ref="U58:Z58"/>
    <mergeCell ref="AA58:AF58"/>
    <mergeCell ref="AG58:AL58"/>
    <mergeCell ref="AM58:AR58"/>
    <mergeCell ref="AS58:AX58"/>
    <mergeCell ref="AY58:BD58"/>
    <mergeCell ref="BE56:BJ56"/>
    <mergeCell ref="C57:L57"/>
    <mergeCell ref="N57:Q57"/>
    <mergeCell ref="R57:T57"/>
    <mergeCell ref="U57:Z57"/>
    <mergeCell ref="AA57:AF57"/>
    <mergeCell ref="AG57:AL57"/>
    <mergeCell ref="AM57:AR57"/>
    <mergeCell ref="AS57:AX57"/>
    <mergeCell ref="AY57:BD57"/>
    <mergeCell ref="BE57:BJ57"/>
    <mergeCell ref="C56:L56"/>
    <mergeCell ref="N56:Q56"/>
    <mergeCell ref="R56:T56"/>
    <mergeCell ref="U56:Z56"/>
    <mergeCell ref="AA56:AF56"/>
    <mergeCell ref="AG56:AL56"/>
    <mergeCell ref="AM56:AR56"/>
    <mergeCell ref="AS56:AX56"/>
    <mergeCell ref="AY56:BD56"/>
    <mergeCell ref="BE53:BJ53"/>
    <mergeCell ref="C55:L55"/>
    <mergeCell ref="N55:Q55"/>
    <mergeCell ref="R55:T55"/>
    <mergeCell ref="U55:Z55"/>
    <mergeCell ref="AA55:AF55"/>
    <mergeCell ref="AG55:AL55"/>
    <mergeCell ref="AM55:AR55"/>
    <mergeCell ref="AS55:AX55"/>
    <mergeCell ref="AY55:BD55"/>
    <mergeCell ref="BE55:BJ55"/>
    <mergeCell ref="C53:L53"/>
    <mergeCell ref="N53:Q53"/>
    <mergeCell ref="R53:T53"/>
    <mergeCell ref="U53:Z53"/>
    <mergeCell ref="AA53:AF53"/>
    <mergeCell ref="AG53:AL53"/>
    <mergeCell ref="AM53:AR53"/>
    <mergeCell ref="AS53:AX53"/>
    <mergeCell ref="AY53:BD53"/>
    <mergeCell ref="BE51:BJ51"/>
    <mergeCell ref="C52:L52"/>
    <mergeCell ref="N52:Q52"/>
    <mergeCell ref="R52:T52"/>
    <mergeCell ref="U52:Z52"/>
    <mergeCell ref="AA52:AF52"/>
    <mergeCell ref="AG52:AL52"/>
    <mergeCell ref="AM52:AR52"/>
    <mergeCell ref="AS52:AX52"/>
    <mergeCell ref="AY52:BD52"/>
    <mergeCell ref="BE52:BJ52"/>
    <mergeCell ref="C51:L51"/>
    <mergeCell ref="N51:Q51"/>
    <mergeCell ref="R51:T51"/>
    <mergeCell ref="U51:Z51"/>
    <mergeCell ref="AA51:AF51"/>
    <mergeCell ref="AG51:AL51"/>
    <mergeCell ref="AM51:AR51"/>
    <mergeCell ref="AS51:AX51"/>
    <mergeCell ref="AY51:BD51"/>
    <mergeCell ref="BE49:BJ49"/>
    <mergeCell ref="C50:L50"/>
    <mergeCell ref="N50:Q50"/>
    <mergeCell ref="R50:T50"/>
    <mergeCell ref="U50:Z50"/>
    <mergeCell ref="AA50:AF50"/>
    <mergeCell ref="AG50:AL50"/>
    <mergeCell ref="AM50:AR50"/>
    <mergeCell ref="AS50:AX50"/>
    <mergeCell ref="AY50:BD50"/>
    <mergeCell ref="BE50:BJ50"/>
    <mergeCell ref="C49:L49"/>
    <mergeCell ref="N49:Q49"/>
    <mergeCell ref="R49:T49"/>
    <mergeCell ref="U49:Z49"/>
    <mergeCell ref="AA49:AF49"/>
    <mergeCell ref="AG49:AL49"/>
    <mergeCell ref="AM49:AR49"/>
    <mergeCell ref="AS49:AX49"/>
    <mergeCell ref="AY49:BD49"/>
    <mergeCell ref="BE46:BJ46"/>
    <mergeCell ref="C47:L47"/>
    <mergeCell ref="N47:Q47"/>
    <mergeCell ref="R47:T47"/>
    <mergeCell ref="U47:Z47"/>
    <mergeCell ref="AA47:AF47"/>
    <mergeCell ref="AG47:AL47"/>
    <mergeCell ref="AM47:AR47"/>
    <mergeCell ref="AS47:AX47"/>
    <mergeCell ref="AY47:BD47"/>
    <mergeCell ref="BE47:BJ47"/>
    <mergeCell ref="C46:L46"/>
    <mergeCell ref="N46:Q46"/>
    <mergeCell ref="R46:T46"/>
    <mergeCell ref="U46:Z46"/>
    <mergeCell ref="AA46:AF46"/>
    <mergeCell ref="AG46:AL46"/>
    <mergeCell ref="AM46:AR46"/>
    <mergeCell ref="AS46:AX46"/>
    <mergeCell ref="AY46:BD46"/>
    <mergeCell ref="BE44:BJ44"/>
    <mergeCell ref="C45:L45"/>
    <mergeCell ref="N45:Q45"/>
    <mergeCell ref="R45:T45"/>
    <mergeCell ref="U45:Z45"/>
    <mergeCell ref="AA45:AF45"/>
    <mergeCell ref="AG45:AL45"/>
    <mergeCell ref="AM45:AR45"/>
    <mergeCell ref="AS45:AX45"/>
    <mergeCell ref="AY45:BD45"/>
    <mergeCell ref="BE45:BJ45"/>
    <mergeCell ref="C44:L44"/>
    <mergeCell ref="N44:Q44"/>
    <mergeCell ref="R44:T44"/>
    <mergeCell ref="U44:Z44"/>
    <mergeCell ref="AA44:AF44"/>
    <mergeCell ref="AG44:AL44"/>
    <mergeCell ref="AM44:AR44"/>
    <mergeCell ref="AS44:AX44"/>
    <mergeCell ref="AY44:BD44"/>
    <mergeCell ref="BE41:BJ41"/>
    <mergeCell ref="C43:L43"/>
    <mergeCell ref="N43:Q43"/>
    <mergeCell ref="R43:T43"/>
    <mergeCell ref="U43:Z43"/>
    <mergeCell ref="AA43:AF43"/>
    <mergeCell ref="AG43:AL43"/>
    <mergeCell ref="AM43:AR43"/>
    <mergeCell ref="AS43:AX43"/>
    <mergeCell ref="AY43:BD43"/>
    <mergeCell ref="BE43:BJ43"/>
    <mergeCell ref="C41:L41"/>
    <mergeCell ref="N41:Q41"/>
    <mergeCell ref="R41:T41"/>
    <mergeCell ref="U41:Z41"/>
    <mergeCell ref="AA41:AF41"/>
    <mergeCell ref="AG41:AL41"/>
    <mergeCell ref="AM41:AR41"/>
    <mergeCell ref="AS41:AX41"/>
    <mergeCell ref="AY41:BD41"/>
    <mergeCell ref="BE39:BJ39"/>
    <mergeCell ref="C40:L40"/>
    <mergeCell ref="N40:Q40"/>
    <mergeCell ref="R40:T40"/>
    <mergeCell ref="U40:Z40"/>
    <mergeCell ref="AA40:AF40"/>
    <mergeCell ref="AG40:AL40"/>
    <mergeCell ref="AM40:AR40"/>
    <mergeCell ref="AS40:AX40"/>
    <mergeCell ref="AY40:BD40"/>
    <mergeCell ref="BE40:BJ40"/>
    <mergeCell ref="C39:L39"/>
    <mergeCell ref="N39:Q39"/>
    <mergeCell ref="R39:T39"/>
    <mergeCell ref="U39:Z39"/>
    <mergeCell ref="AA39:AF39"/>
    <mergeCell ref="AG39:AL39"/>
    <mergeCell ref="AM39:AR39"/>
    <mergeCell ref="AS39:AX39"/>
    <mergeCell ref="AY39:BD39"/>
    <mergeCell ref="BE37:BJ37"/>
    <mergeCell ref="C38:L38"/>
    <mergeCell ref="N38:Q38"/>
    <mergeCell ref="R38:T38"/>
    <mergeCell ref="U38:Z38"/>
    <mergeCell ref="AA38:AF38"/>
    <mergeCell ref="AG38:AL38"/>
    <mergeCell ref="AM38:AR38"/>
    <mergeCell ref="AS38:AX38"/>
    <mergeCell ref="AY38:BD38"/>
    <mergeCell ref="BE38:BJ38"/>
    <mergeCell ref="C37:L37"/>
    <mergeCell ref="N37:Q37"/>
    <mergeCell ref="R37:T37"/>
    <mergeCell ref="U37:Z37"/>
    <mergeCell ref="AA37:AF37"/>
    <mergeCell ref="AG37:AL37"/>
    <mergeCell ref="AM37:AR37"/>
    <mergeCell ref="AS37:AX37"/>
    <mergeCell ref="AY37:BD37"/>
    <mergeCell ref="BE34:BJ34"/>
    <mergeCell ref="C35:L35"/>
    <mergeCell ref="N35:Q35"/>
    <mergeCell ref="R35:T35"/>
    <mergeCell ref="U35:Z35"/>
    <mergeCell ref="AA35:AF35"/>
    <mergeCell ref="AG35:AL35"/>
    <mergeCell ref="AM35:AR35"/>
    <mergeCell ref="AS35:AX35"/>
    <mergeCell ref="AY35:BD35"/>
    <mergeCell ref="BE35:BJ35"/>
    <mergeCell ref="C34:L34"/>
    <mergeCell ref="N34:Q34"/>
    <mergeCell ref="R34:T34"/>
    <mergeCell ref="U34:Z34"/>
    <mergeCell ref="AA34:AF34"/>
    <mergeCell ref="AG34:AL34"/>
    <mergeCell ref="AM34:AR34"/>
    <mergeCell ref="AS34:AX34"/>
    <mergeCell ref="AY34:BD34"/>
    <mergeCell ref="BE32:BJ32"/>
    <mergeCell ref="C33:L33"/>
    <mergeCell ref="N33:Q33"/>
    <mergeCell ref="R33:T33"/>
    <mergeCell ref="U33:Z33"/>
    <mergeCell ref="AA33:AF33"/>
    <mergeCell ref="AG33:AL33"/>
    <mergeCell ref="AM33:AR33"/>
    <mergeCell ref="AS33:AX33"/>
    <mergeCell ref="AY33:BD33"/>
    <mergeCell ref="BE33:BJ33"/>
    <mergeCell ref="C32:L32"/>
    <mergeCell ref="N32:Q32"/>
    <mergeCell ref="R32:T32"/>
    <mergeCell ref="U32:Z32"/>
    <mergeCell ref="AA32:AF32"/>
    <mergeCell ref="AG32:AL32"/>
    <mergeCell ref="AM32:AR32"/>
    <mergeCell ref="AS32:AX32"/>
    <mergeCell ref="AY32:BD32"/>
    <mergeCell ref="BE29:BJ29"/>
    <mergeCell ref="C31:L31"/>
    <mergeCell ref="N31:Q31"/>
    <mergeCell ref="R31:T31"/>
    <mergeCell ref="U31:Z31"/>
    <mergeCell ref="AA31:AF31"/>
    <mergeCell ref="AG31:AL31"/>
    <mergeCell ref="AM31:AR31"/>
    <mergeCell ref="AS31:AX31"/>
    <mergeCell ref="AY31:BD31"/>
    <mergeCell ref="BE31:BJ31"/>
    <mergeCell ref="C29:L29"/>
    <mergeCell ref="N29:Q29"/>
    <mergeCell ref="R29:T29"/>
    <mergeCell ref="U29:Z29"/>
    <mergeCell ref="AA29:AF29"/>
    <mergeCell ref="AG29:AL29"/>
    <mergeCell ref="AM29:AR29"/>
    <mergeCell ref="AS29:AX29"/>
    <mergeCell ref="AY29:BD29"/>
    <mergeCell ref="BE27:BJ27"/>
    <mergeCell ref="C28:L28"/>
    <mergeCell ref="N28:Q28"/>
    <mergeCell ref="R28:T28"/>
    <mergeCell ref="U28:Z28"/>
    <mergeCell ref="AA28:AF28"/>
    <mergeCell ref="AG28:AL28"/>
    <mergeCell ref="AM28:AR28"/>
    <mergeCell ref="AS28:AX28"/>
    <mergeCell ref="AY28:BD28"/>
    <mergeCell ref="BE28:BJ28"/>
    <mergeCell ref="C27:L27"/>
    <mergeCell ref="N27:Q27"/>
    <mergeCell ref="R27:T27"/>
    <mergeCell ref="U27:Z27"/>
    <mergeCell ref="AA27:AF27"/>
    <mergeCell ref="AG27:AL27"/>
    <mergeCell ref="AM27:AR27"/>
    <mergeCell ref="AS27:AX27"/>
    <mergeCell ref="AY27:BD27"/>
    <mergeCell ref="BE25:BJ25"/>
    <mergeCell ref="C26:L26"/>
    <mergeCell ref="N26:Q26"/>
    <mergeCell ref="R26:T26"/>
    <mergeCell ref="U26:Z26"/>
    <mergeCell ref="AA26:AF26"/>
    <mergeCell ref="AG26:AL26"/>
    <mergeCell ref="AM26:AR26"/>
    <mergeCell ref="AS26:AX26"/>
    <mergeCell ref="AY26:BD26"/>
    <mergeCell ref="BE26:BJ26"/>
    <mergeCell ref="C25:L25"/>
    <mergeCell ref="N25:Q25"/>
    <mergeCell ref="R25:T25"/>
    <mergeCell ref="U25:Z25"/>
    <mergeCell ref="AA25:AF25"/>
    <mergeCell ref="AG25:AL25"/>
    <mergeCell ref="AM25:AR25"/>
    <mergeCell ref="AS25:AX25"/>
    <mergeCell ref="AY25:BD25"/>
    <mergeCell ref="BE22:BJ22"/>
    <mergeCell ref="C23:L23"/>
    <mergeCell ref="N23:Q23"/>
    <mergeCell ref="R23:T23"/>
    <mergeCell ref="U23:Z23"/>
    <mergeCell ref="AA23:AF23"/>
    <mergeCell ref="AG23:AL23"/>
    <mergeCell ref="AM23:AR23"/>
    <mergeCell ref="AS23:AX23"/>
    <mergeCell ref="AY23:BD23"/>
    <mergeCell ref="BE23:BJ23"/>
    <mergeCell ref="C22:L22"/>
    <mergeCell ref="N22:Q22"/>
    <mergeCell ref="R22:T22"/>
    <mergeCell ref="U22:Z22"/>
    <mergeCell ref="AA22:AF22"/>
    <mergeCell ref="AG22:AL22"/>
    <mergeCell ref="AM22:AR22"/>
    <mergeCell ref="AS22:AX22"/>
    <mergeCell ref="AY22:BD22"/>
    <mergeCell ref="BE20:BJ20"/>
    <mergeCell ref="C21:L21"/>
    <mergeCell ref="N21:Q21"/>
    <mergeCell ref="R21:T21"/>
    <mergeCell ref="U21:Z21"/>
    <mergeCell ref="AA21:AF21"/>
    <mergeCell ref="AG21:AL21"/>
    <mergeCell ref="AM21:AR21"/>
    <mergeCell ref="AS21:AX21"/>
    <mergeCell ref="AY21:BD21"/>
    <mergeCell ref="BE21:BJ21"/>
    <mergeCell ref="C20:L20"/>
    <mergeCell ref="N20:Q20"/>
    <mergeCell ref="R20:T20"/>
    <mergeCell ref="U20:Z20"/>
    <mergeCell ref="AA20:AF20"/>
    <mergeCell ref="AG20:AL20"/>
    <mergeCell ref="AM20:AR20"/>
    <mergeCell ref="AS20:AX20"/>
    <mergeCell ref="AY20:BD20"/>
    <mergeCell ref="AY17:BD17"/>
    <mergeCell ref="BE17:BJ17"/>
    <mergeCell ref="AS19:AX19"/>
    <mergeCell ref="AY19:BD19"/>
    <mergeCell ref="BE19:BJ19"/>
    <mergeCell ref="AM17:AR17"/>
    <mergeCell ref="C17:L17"/>
    <mergeCell ref="N17:Q17"/>
    <mergeCell ref="R17:T17"/>
    <mergeCell ref="U17:Z17"/>
    <mergeCell ref="AA17:AF17"/>
    <mergeCell ref="AG17:AL17"/>
    <mergeCell ref="AM16:AR16"/>
    <mergeCell ref="AS16:AX16"/>
    <mergeCell ref="C19:L19"/>
    <mergeCell ref="N19:Q19"/>
    <mergeCell ref="R19:T19"/>
    <mergeCell ref="U19:Z19"/>
    <mergeCell ref="AA19:AF19"/>
    <mergeCell ref="AG19:AL19"/>
    <mergeCell ref="C11:L11"/>
    <mergeCell ref="U11:Z11"/>
    <mergeCell ref="AA11:AF11"/>
    <mergeCell ref="AG11:AL11"/>
    <mergeCell ref="C16:L16"/>
    <mergeCell ref="N16:Q16"/>
    <mergeCell ref="R16:T16"/>
    <mergeCell ref="U16:Z16"/>
    <mergeCell ref="AA16:AF16"/>
    <mergeCell ref="AG16:AL16"/>
    <mergeCell ref="C15:L15"/>
    <mergeCell ref="N15:Q15"/>
    <mergeCell ref="R15:T15"/>
    <mergeCell ref="U15:Z15"/>
    <mergeCell ref="AA15:AF15"/>
    <mergeCell ref="AG15:AL15"/>
    <mergeCell ref="C14:L14"/>
    <mergeCell ref="N14:Q14"/>
    <mergeCell ref="R14:T14"/>
    <mergeCell ref="U14:Z14"/>
    <mergeCell ref="AA14:AF14"/>
    <mergeCell ref="AG14:AL14"/>
    <mergeCell ref="C85:L85"/>
    <mergeCell ref="C86:L86"/>
    <mergeCell ref="N85:Q85"/>
    <mergeCell ref="R85:T85"/>
    <mergeCell ref="U85:Z85"/>
    <mergeCell ref="AA85:AF85"/>
    <mergeCell ref="BE8:BJ9"/>
    <mergeCell ref="N86:Q86"/>
    <mergeCell ref="R86:T86"/>
    <mergeCell ref="U86:Z86"/>
    <mergeCell ref="AA86:AF86"/>
    <mergeCell ref="AG86:AL86"/>
    <mergeCell ref="BI10:BJ10"/>
    <mergeCell ref="AM14:AR14"/>
    <mergeCell ref="AS14:AX14"/>
    <mergeCell ref="AY11:BD11"/>
    <mergeCell ref="U9:Z9"/>
    <mergeCell ref="AA9:AF9"/>
    <mergeCell ref="AG9:AL9"/>
    <mergeCell ref="AM9:AR9"/>
    <mergeCell ref="AS9:AX9"/>
    <mergeCell ref="AY9:BD9"/>
    <mergeCell ref="U8:AL8"/>
    <mergeCell ref="AM8:BD8"/>
    <mergeCell ref="AS1:BK2"/>
    <mergeCell ref="AM86:AR86"/>
    <mergeCell ref="AS86:AX86"/>
    <mergeCell ref="AY86:BD86"/>
    <mergeCell ref="BE86:BJ86"/>
    <mergeCell ref="AG85:AL85"/>
    <mergeCell ref="AM85:AR85"/>
    <mergeCell ref="AS85:AX85"/>
    <mergeCell ref="AY85:BD85"/>
    <mergeCell ref="BE85:BJ85"/>
    <mergeCell ref="B5:BJ5"/>
    <mergeCell ref="B6:BJ6"/>
    <mergeCell ref="AM11:AR11"/>
    <mergeCell ref="AS11:AX11"/>
    <mergeCell ref="C13:L13"/>
    <mergeCell ref="N13:Q13"/>
    <mergeCell ref="R13:T13"/>
    <mergeCell ref="U13:Z13"/>
    <mergeCell ref="AA13:AF13"/>
    <mergeCell ref="AG13:AL13"/>
    <mergeCell ref="R11:T11"/>
    <mergeCell ref="N11:Q11"/>
    <mergeCell ref="N8:T9"/>
    <mergeCell ref="B8:M9"/>
    <mergeCell ref="AS17:AX17"/>
    <mergeCell ref="BE15:BJ15"/>
    <mergeCell ref="AM19:AR19"/>
    <mergeCell ref="BE11:BJ11"/>
    <mergeCell ref="AM15:AR15"/>
    <mergeCell ref="AS15:AX15"/>
    <mergeCell ref="AY13:BD13"/>
    <mergeCell ref="BE13:BJ13"/>
    <mergeCell ref="BE14:BJ14"/>
    <mergeCell ref="AM13:AR13"/>
    <mergeCell ref="AS13:AX13"/>
    <mergeCell ref="AY14:BD14"/>
    <mergeCell ref="AY15:BD15"/>
    <mergeCell ref="AY16:BD16"/>
    <mergeCell ref="BE16:BJ16"/>
  </mergeCells>
  <phoneticPr fontId="2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7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2" ht="11.1" customHeight="1">
      <c r="A1" s="376">
        <f>'207'!AS1+1</f>
        <v>208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</row>
    <row r="2" spans="1:62" ht="11.1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62" ht="11.1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</row>
    <row r="4" spans="1:62" ht="11.1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</row>
    <row r="5" spans="1:62" ht="18" customHeight="1"/>
    <row r="6" spans="1:62" ht="12" customHeight="1">
      <c r="B6" s="380" t="s">
        <v>786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  <c r="BJ6" s="380"/>
    </row>
    <row r="7" spans="1:62" ht="12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3.5" customHeight="1">
      <c r="B8" s="411" t="s">
        <v>754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 t="s">
        <v>652</v>
      </c>
      <c r="O8" s="386"/>
      <c r="P8" s="386"/>
      <c r="Q8" s="386"/>
      <c r="R8" s="386"/>
      <c r="S8" s="386"/>
      <c r="T8" s="386"/>
      <c r="U8" s="386" t="s">
        <v>651</v>
      </c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 t="s">
        <v>471</v>
      </c>
      <c r="AN8" s="386"/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6"/>
      <c r="BD8" s="386"/>
      <c r="BE8" s="386" t="s">
        <v>753</v>
      </c>
      <c r="BF8" s="386"/>
      <c r="BG8" s="386"/>
      <c r="BH8" s="386"/>
      <c r="BI8" s="386"/>
      <c r="BJ8" s="387"/>
    </row>
    <row r="9" spans="1:62" ht="13.5" customHeight="1">
      <c r="B9" s="412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470" t="s">
        <v>238</v>
      </c>
      <c r="V9" s="470"/>
      <c r="W9" s="470"/>
      <c r="X9" s="470"/>
      <c r="Y9" s="470"/>
      <c r="Z9" s="470"/>
      <c r="AA9" s="470" t="s">
        <v>644</v>
      </c>
      <c r="AB9" s="470"/>
      <c r="AC9" s="470"/>
      <c r="AD9" s="470"/>
      <c r="AE9" s="470"/>
      <c r="AF9" s="470"/>
      <c r="AG9" s="470" t="s">
        <v>643</v>
      </c>
      <c r="AH9" s="470"/>
      <c r="AI9" s="470"/>
      <c r="AJ9" s="470"/>
      <c r="AK9" s="470"/>
      <c r="AL9" s="470"/>
      <c r="AM9" s="470" t="s">
        <v>238</v>
      </c>
      <c r="AN9" s="470"/>
      <c r="AO9" s="470"/>
      <c r="AP9" s="470"/>
      <c r="AQ9" s="470"/>
      <c r="AR9" s="470"/>
      <c r="AS9" s="470" t="s">
        <v>644</v>
      </c>
      <c r="AT9" s="470"/>
      <c r="AU9" s="470"/>
      <c r="AV9" s="470"/>
      <c r="AW9" s="470"/>
      <c r="AX9" s="470"/>
      <c r="AY9" s="470" t="s">
        <v>643</v>
      </c>
      <c r="AZ9" s="470"/>
      <c r="BA9" s="470"/>
      <c r="BB9" s="470"/>
      <c r="BC9" s="470"/>
      <c r="BD9" s="470"/>
      <c r="BE9" s="385"/>
      <c r="BF9" s="385"/>
      <c r="BG9" s="385"/>
      <c r="BH9" s="385"/>
      <c r="BI9" s="385"/>
      <c r="BJ9" s="388"/>
    </row>
    <row r="10" spans="1:62" ht="8.1" customHeight="1">
      <c r="M10" s="21"/>
      <c r="BI10" s="842" t="s">
        <v>785</v>
      </c>
      <c r="BJ10" s="843"/>
    </row>
    <row r="11" spans="1:62" ht="12" customHeight="1">
      <c r="C11" s="389" t="s">
        <v>765</v>
      </c>
      <c r="D11" s="389"/>
      <c r="E11" s="389"/>
      <c r="F11" s="389"/>
      <c r="G11" s="389"/>
      <c r="H11" s="389"/>
      <c r="I11" s="389"/>
      <c r="J11" s="389"/>
      <c r="K11" s="389"/>
      <c r="L11" s="389"/>
      <c r="M11" s="348"/>
      <c r="N11" s="844">
        <v>20</v>
      </c>
      <c r="O11" s="838"/>
      <c r="P11" s="838"/>
      <c r="Q11" s="838"/>
      <c r="R11" s="845"/>
      <c r="S11" s="845"/>
      <c r="T11" s="845"/>
      <c r="U11" s="823">
        <f>SUM(AA11,AG11)</f>
        <v>27</v>
      </c>
      <c r="V11" s="823"/>
      <c r="W11" s="823"/>
      <c r="X11" s="823"/>
      <c r="Y11" s="823"/>
      <c r="Z11" s="823"/>
      <c r="AA11" s="846">
        <v>11</v>
      </c>
      <c r="AB11" s="846"/>
      <c r="AC11" s="846"/>
      <c r="AD11" s="846"/>
      <c r="AE11" s="846"/>
      <c r="AF11" s="846"/>
      <c r="AG11" s="846">
        <v>16</v>
      </c>
      <c r="AH11" s="846"/>
      <c r="AI11" s="846"/>
      <c r="AJ11" s="846"/>
      <c r="AK11" s="846"/>
      <c r="AL11" s="846"/>
      <c r="AM11" s="823">
        <f>SUM(AS11,AY11)</f>
        <v>681</v>
      </c>
      <c r="AN11" s="823"/>
      <c r="AO11" s="823"/>
      <c r="AP11" s="823"/>
      <c r="AQ11" s="823"/>
      <c r="AR11" s="823"/>
      <c r="AS11" s="838">
        <v>324</v>
      </c>
      <c r="AT11" s="838"/>
      <c r="AU11" s="838"/>
      <c r="AV11" s="838"/>
      <c r="AW11" s="838"/>
      <c r="AX11" s="838"/>
      <c r="AY11" s="838">
        <v>357</v>
      </c>
      <c r="AZ11" s="838"/>
      <c r="BA11" s="838"/>
      <c r="BB11" s="838"/>
      <c r="BC11" s="838"/>
      <c r="BD11" s="838"/>
      <c r="BE11" s="838">
        <v>12683</v>
      </c>
      <c r="BF11" s="838"/>
      <c r="BG11" s="838"/>
      <c r="BH11" s="838"/>
      <c r="BI11" s="838"/>
      <c r="BJ11" s="838"/>
    </row>
    <row r="12" spans="1:62" ht="12" customHeight="1">
      <c r="C12" s="389" t="s">
        <v>764</v>
      </c>
      <c r="D12" s="389"/>
      <c r="E12" s="389"/>
      <c r="F12" s="389"/>
      <c r="G12" s="389"/>
      <c r="H12" s="389"/>
      <c r="I12" s="389"/>
      <c r="J12" s="389"/>
      <c r="K12" s="389"/>
      <c r="L12" s="389"/>
      <c r="M12" s="348"/>
      <c r="N12" s="844">
        <v>12</v>
      </c>
      <c r="O12" s="838"/>
      <c r="P12" s="838"/>
      <c r="Q12" s="838"/>
      <c r="R12" s="845">
        <v>-4</v>
      </c>
      <c r="S12" s="845"/>
      <c r="T12" s="845"/>
      <c r="U12" s="823">
        <f>SUM(AA12,AG12)</f>
        <v>24</v>
      </c>
      <c r="V12" s="823"/>
      <c r="W12" s="823"/>
      <c r="X12" s="823"/>
      <c r="Y12" s="823"/>
      <c r="Z12" s="823"/>
      <c r="AA12" s="846">
        <v>9</v>
      </c>
      <c r="AB12" s="846"/>
      <c r="AC12" s="846"/>
      <c r="AD12" s="846"/>
      <c r="AE12" s="846"/>
      <c r="AF12" s="846"/>
      <c r="AG12" s="846">
        <v>15</v>
      </c>
      <c r="AH12" s="846"/>
      <c r="AI12" s="846"/>
      <c r="AJ12" s="846"/>
      <c r="AK12" s="846"/>
      <c r="AL12" s="846"/>
      <c r="AM12" s="823">
        <f>SUM(AS12,AY12)</f>
        <v>428</v>
      </c>
      <c r="AN12" s="823"/>
      <c r="AO12" s="823"/>
      <c r="AP12" s="823"/>
      <c r="AQ12" s="823"/>
      <c r="AR12" s="823"/>
      <c r="AS12" s="838">
        <v>228</v>
      </c>
      <c r="AT12" s="838"/>
      <c r="AU12" s="838"/>
      <c r="AV12" s="838"/>
      <c r="AW12" s="838"/>
      <c r="AX12" s="838"/>
      <c r="AY12" s="838">
        <v>200</v>
      </c>
      <c r="AZ12" s="838"/>
      <c r="BA12" s="838"/>
      <c r="BB12" s="838"/>
      <c r="BC12" s="838"/>
      <c r="BD12" s="838"/>
      <c r="BE12" s="712">
        <v>9210</v>
      </c>
      <c r="BF12" s="712"/>
      <c r="BG12" s="712"/>
      <c r="BH12" s="712"/>
      <c r="BI12" s="712"/>
      <c r="BJ12" s="712"/>
    </row>
    <row r="13" spans="1:62" ht="12" customHeight="1">
      <c r="C13" s="389" t="s">
        <v>784</v>
      </c>
      <c r="D13" s="389"/>
      <c r="E13" s="389"/>
      <c r="F13" s="389"/>
      <c r="G13" s="389"/>
      <c r="H13" s="389"/>
      <c r="I13" s="389"/>
      <c r="J13" s="389"/>
      <c r="K13" s="389"/>
      <c r="L13" s="389"/>
      <c r="M13" s="348"/>
      <c r="N13" s="844">
        <v>19</v>
      </c>
      <c r="O13" s="838"/>
      <c r="P13" s="838"/>
      <c r="Q13" s="838"/>
      <c r="R13" s="845"/>
      <c r="S13" s="845"/>
      <c r="T13" s="845"/>
      <c r="U13" s="823">
        <f>SUM(AA13,AG13)</f>
        <v>26</v>
      </c>
      <c r="V13" s="823"/>
      <c r="W13" s="823"/>
      <c r="X13" s="823"/>
      <c r="Y13" s="823"/>
      <c r="Z13" s="823"/>
      <c r="AA13" s="846">
        <v>9</v>
      </c>
      <c r="AB13" s="846"/>
      <c r="AC13" s="846"/>
      <c r="AD13" s="846"/>
      <c r="AE13" s="846"/>
      <c r="AF13" s="846"/>
      <c r="AG13" s="846">
        <v>17</v>
      </c>
      <c r="AH13" s="846"/>
      <c r="AI13" s="846"/>
      <c r="AJ13" s="846"/>
      <c r="AK13" s="846"/>
      <c r="AL13" s="846"/>
      <c r="AM13" s="823">
        <f>SUM(AS13,AY13)</f>
        <v>636</v>
      </c>
      <c r="AN13" s="823"/>
      <c r="AO13" s="823"/>
      <c r="AP13" s="823"/>
      <c r="AQ13" s="823"/>
      <c r="AR13" s="823"/>
      <c r="AS13" s="838">
        <v>327</v>
      </c>
      <c r="AT13" s="838"/>
      <c r="AU13" s="838"/>
      <c r="AV13" s="838"/>
      <c r="AW13" s="838"/>
      <c r="AX13" s="838"/>
      <c r="AY13" s="838">
        <v>309</v>
      </c>
      <c r="AZ13" s="838"/>
      <c r="BA13" s="838"/>
      <c r="BB13" s="838"/>
      <c r="BC13" s="838"/>
      <c r="BD13" s="838"/>
      <c r="BE13" s="838">
        <v>11006</v>
      </c>
      <c r="BF13" s="838"/>
      <c r="BG13" s="838"/>
      <c r="BH13" s="838"/>
      <c r="BI13" s="838"/>
      <c r="BJ13" s="838"/>
    </row>
    <row r="14" spans="1:62" ht="12" customHeight="1">
      <c r="C14" s="389" t="s">
        <v>763</v>
      </c>
      <c r="D14" s="389"/>
      <c r="E14" s="389"/>
      <c r="F14" s="389"/>
      <c r="G14" s="389"/>
      <c r="H14" s="389"/>
      <c r="I14" s="389"/>
      <c r="J14" s="389"/>
      <c r="K14" s="389"/>
      <c r="L14" s="389"/>
      <c r="M14" s="348"/>
      <c r="N14" s="844">
        <v>13</v>
      </c>
      <c r="O14" s="838"/>
      <c r="P14" s="838"/>
      <c r="Q14" s="838"/>
      <c r="R14" s="845"/>
      <c r="S14" s="845"/>
      <c r="T14" s="845"/>
      <c r="U14" s="823">
        <f>SUM(AA14,AG14)</f>
        <v>19</v>
      </c>
      <c r="V14" s="823"/>
      <c r="W14" s="823"/>
      <c r="X14" s="823"/>
      <c r="Y14" s="823"/>
      <c r="Z14" s="823"/>
      <c r="AA14" s="846">
        <v>7</v>
      </c>
      <c r="AB14" s="846"/>
      <c r="AC14" s="846"/>
      <c r="AD14" s="846"/>
      <c r="AE14" s="846"/>
      <c r="AF14" s="846"/>
      <c r="AG14" s="846">
        <v>12</v>
      </c>
      <c r="AH14" s="846"/>
      <c r="AI14" s="846"/>
      <c r="AJ14" s="846"/>
      <c r="AK14" s="846"/>
      <c r="AL14" s="846"/>
      <c r="AM14" s="823">
        <f>SUM(AS14,AY14)</f>
        <v>416</v>
      </c>
      <c r="AN14" s="823"/>
      <c r="AO14" s="823"/>
      <c r="AP14" s="823"/>
      <c r="AQ14" s="823"/>
      <c r="AR14" s="823"/>
      <c r="AS14" s="838">
        <v>199</v>
      </c>
      <c r="AT14" s="838"/>
      <c r="AU14" s="838"/>
      <c r="AV14" s="838"/>
      <c r="AW14" s="838"/>
      <c r="AX14" s="838"/>
      <c r="AY14" s="838">
        <v>217</v>
      </c>
      <c r="AZ14" s="838"/>
      <c r="BA14" s="838"/>
      <c r="BB14" s="838"/>
      <c r="BC14" s="838"/>
      <c r="BD14" s="838"/>
      <c r="BE14" s="838">
        <v>16076</v>
      </c>
      <c r="BF14" s="838"/>
      <c r="BG14" s="838"/>
      <c r="BH14" s="838"/>
      <c r="BI14" s="838"/>
      <c r="BJ14" s="838"/>
    </row>
    <row r="15" spans="1:62" ht="12" customHeight="1">
      <c r="C15" s="389" t="s">
        <v>783</v>
      </c>
      <c r="D15" s="389"/>
      <c r="E15" s="389"/>
      <c r="F15" s="389"/>
      <c r="G15" s="389"/>
      <c r="H15" s="389"/>
      <c r="I15" s="389"/>
      <c r="J15" s="389"/>
      <c r="K15" s="389"/>
      <c r="L15" s="389"/>
      <c r="M15" s="348"/>
      <c r="N15" s="844">
        <v>19</v>
      </c>
      <c r="O15" s="838"/>
      <c r="P15" s="838"/>
      <c r="Q15" s="838"/>
      <c r="R15" s="845"/>
      <c r="S15" s="845"/>
      <c r="T15" s="845"/>
      <c r="U15" s="823">
        <f>SUM(AA15,AG15)</f>
        <v>26</v>
      </c>
      <c r="V15" s="823"/>
      <c r="W15" s="823"/>
      <c r="X15" s="823"/>
      <c r="Y15" s="823"/>
      <c r="Z15" s="823"/>
      <c r="AA15" s="846">
        <v>11</v>
      </c>
      <c r="AB15" s="846"/>
      <c r="AC15" s="846"/>
      <c r="AD15" s="846"/>
      <c r="AE15" s="846"/>
      <c r="AF15" s="846"/>
      <c r="AG15" s="846">
        <v>15</v>
      </c>
      <c r="AH15" s="846"/>
      <c r="AI15" s="846"/>
      <c r="AJ15" s="846"/>
      <c r="AK15" s="846"/>
      <c r="AL15" s="846"/>
      <c r="AM15" s="823">
        <f>SUM(AS15,AY15)</f>
        <v>607</v>
      </c>
      <c r="AN15" s="823"/>
      <c r="AO15" s="823"/>
      <c r="AP15" s="823"/>
      <c r="AQ15" s="823"/>
      <c r="AR15" s="823"/>
      <c r="AS15" s="838">
        <v>329</v>
      </c>
      <c r="AT15" s="838"/>
      <c r="AU15" s="838"/>
      <c r="AV15" s="838"/>
      <c r="AW15" s="838"/>
      <c r="AX15" s="838"/>
      <c r="AY15" s="838">
        <v>278</v>
      </c>
      <c r="AZ15" s="838"/>
      <c r="BA15" s="838"/>
      <c r="BB15" s="838"/>
      <c r="BC15" s="838"/>
      <c r="BD15" s="838"/>
      <c r="BE15" s="838">
        <v>9518</v>
      </c>
      <c r="BF15" s="838"/>
      <c r="BG15" s="838"/>
      <c r="BH15" s="838"/>
      <c r="BI15" s="838"/>
      <c r="BJ15" s="838"/>
    </row>
    <row r="16" spans="1:62" ht="8.1" customHeight="1">
      <c r="M16" s="6"/>
      <c r="N16" s="350"/>
      <c r="O16" s="322"/>
      <c r="P16" s="322"/>
      <c r="Q16" s="322"/>
      <c r="R16" s="322"/>
      <c r="S16" s="322"/>
      <c r="T16" s="322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</row>
    <row r="17" spans="2:63" ht="12" customHeight="1">
      <c r="C17" s="389" t="s">
        <v>782</v>
      </c>
      <c r="D17" s="389"/>
      <c r="E17" s="389"/>
      <c r="F17" s="389"/>
      <c r="G17" s="389"/>
      <c r="H17" s="389"/>
      <c r="I17" s="389"/>
      <c r="J17" s="389"/>
      <c r="K17" s="389"/>
      <c r="L17" s="389"/>
      <c r="M17" s="348"/>
      <c r="N17" s="844">
        <v>13</v>
      </c>
      <c r="O17" s="838"/>
      <c r="P17" s="838"/>
      <c r="Q17" s="838"/>
      <c r="R17" s="845"/>
      <c r="S17" s="845"/>
      <c r="T17" s="845"/>
      <c r="U17" s="823">
        <f>SUM(AA17,AG17)</f>
        <v>19</v>
      </c>
      <c r="V17" s="823"/>
      <c r="W17" s="823"/>
      <c r="X17" s="823"/>
      <c r="Y17" s="823"/>
      <c r="Z17" s="823"/>
      <c r="AA17" s="846">
        <v>7</v>
      </c>
      <c r="AB17" s="846"/>
      <c r="AC17" s="846"/>
      <c r="AD17" s="846"/>
      <c r="AE17" s="846"/>
      <c r="AF17" s="846"/>
      <c r="AG17" s="846">
        <v>12</v>
      </c>
      <c r="AH17" s="846"/>
      <c r="AI17" s="846"/>
      <c r="AJ17" s="846"/>
      <c r="AK17" s="846"/>
      <c r="AL17" s="846"/>
      <c r="AM17" s="823">
        <f>SUM(AS17,AY17)</f>
        <v>390</v>
      </c>
      <c r="AN17" s="823"/>
      <c r="AO17" s="823"/>
      <c r="AP17" s="823"/>
      <c r="AQ17" s="823"/>
      <c r="AR17" s="823"/>
      <c r="AS17" s="838">
        <v>193</v>
      </c>
      <c r="AT17" s="838"/>
      <c r="AU17" s="838"/>
      <c r="AV17" s="838"/>
      <c r="AW17" s="838"/>
      <c r="AX17" s="838"/>
      <c r="AY17" s="838">
        <v>197</v>
      </c>
      <c r="AZ17" s="838"/>
      <c r="BA17" s="838"/>
      <c r="BB17" s="838"/>
      <c r="BC17" s="838"/>
      <c r="BD17" s="838"/>
      <c r="BE17" s="838">
        <v>10129</v>
      </c>
      <c r="BF17" s="838"/>
      <c r="BG17" s="838"/>
      <c r="BH17" s="838"/>
      <c r="BI17" s="838"/>
      <c r="BJ17" s="838"/>
    </row>
    <row r="18" spans="2:63" ht="12" customHeight="1">
      <c r="C18" s="389" t="s">
        <v>781</v>
      </c>
      <c r="D18" s="389"/>
      <c r="E18" s="389"/>
      <c r="F18" s="389"/>
      <c r="G18" s="389"/>
      <c r="H18" s="389"/>
      <c r="I18" s="389"/>
      <c r="J18" s="389"/>
      <c r="K18" s="389"/>
      <c r="L18" s="389"/>
      <c r="M18" s="348"/>
      <c r="N18" s="844">
        <v>12</v>
      </c>
      <c r="O18" s="838"/>
      <c r="P18" s="838"/>
      <c r="Q18" s="838"/>
      <c r="R18" s="845">
        <v>-3</v>
      </c>
      <c r="S18" s="845"/>
      <c r="T18" s="845"/>
      <c r="U18" s="823">
        <f>SUM(AA18,AG18)</f>
        <v>22</v>
      </c>
      <c r="V18" s="823"/>
      <c r="W18" s="823"/>
      <c r="X18" s="823"/>
      <c r="Y18" s="823"/>
      <c r="Z18" s="823"/>
      <c r="AA18" s="846">
        <v>9</v>
      </c>
      <c r="AB18" s="846"/>
      <c r="AC18" s="846"/>
      <c r="AD18" s="846"/>
      <c r="AE18" s="846"/>
      <c r="AF18" s="846"/>
      <c r="AG18" s="846">
        <v>13</v>
      </c>
      <c r="AH18" s="846"/>
      <c r="AI18" s="846"/>
      <c r="AJ18" s="846"/>
      <c r="AK18" s="846"/>
      <c r="AL18" s="846"/>
      <c r="AM18" s="823">
        <f>SUM(AS18,AY18)</f>
        <v>332</v>
      </c>
      <c r="AN18" s="823"/>
      <c r="AO18" s="823"/>
      <c r="AP18" s="823"/>
      <c r="AQ18" s="823"/>
      <c r="AR18" s="823"/>
      <c r="AS18" s="838">
        <v>179</v>
      </c>
      <c r="AT18" s="838"/>
      <c r="AU18" s="838"/>
      <c r="AV18" s="838"/>
      <c r="AW18" s="838"/>
      <c r="AX18" s="838"/>
      <c r="AY18" s="838">
        <v>153</v>
      </c>
      <c r="AZ18" s="838"/>
      <c r="BA18" s="838"/>
      <c r="BB18" s="838"/>
      <c r="BC18" s="838"/>
      <c r="BD18" s="838"/>
      <c r="BE18" s="838">
        <v>11978</v>
      </c>
      <c r="BF18" s="838"/>
      <c r="BG18" s="838"/>
      <c r="BH18" s="838"/>
      <c r="BI18" s="838"/>
      <c r="BJ18" s="838"/>
    </row>
    <row r="19" spans="2:63" ht="12" customHeight="1">
      <c r="C19" s="389" t="s">
        <v>767</v>
      </c>
      <c r="D19" s="389"/>
      <c r="E19" s="389"/>
      <c r="F19" s="389"/>
      <c r="G19" s="389"/>
      <c r="H19" s="389"/>
      <c r="I19" s="389"/>
      <c r="J19" s="389"/>
      <c r="K19" s="389"/>
      <c r="L19" s="389"/>
      <c r="M19" s="348"/>
      <c r="N19" s="844">
        <v>12</v>
      </c>
      <c r="O19" s="838"/>
      <c r="P19" s="838"/>
      <c r="Q19" s="838"/>
      <c r="R19" s="845"/>
      <c r="S19" s="845"/>
      <c r="T19" s="845"/>
      <c r="U19" s="823">
        <f>SUM(AA19,AG19)</f>
        <v>18</v>
      </c>
      <c r="V19" s="823"/>
      <c r="W19" s="823"/>
      <c r="X19" s="823"/>
      <c r="Y19" s="823"/>
      <c r="Z19" s="823"/>
      <c r="AA19" s="846">
        <v>6</v>
      </c>
      <c r="AB19" s="846"/>
      <c r="AC19" s="846"/>
      <c r="AD19" s="846"/>
      <c r="AE19" s="846"/>
      <c r="AF19" s="846"/>
      <c r="AG19" s="846">
        <v>12</v>
      </c>
      <c r="AH19" s="846"/>
      <c r="AI19" s="846"/>
      <c r="AJ19" s="846"/>
      <c r="AK19" s="846"/>
      <c r="AL19" s="846"/>
      <c r="AM19" s="823">
        <f>SUM(AS19,AY19)</f>
        <v>290</v>
      </c>
      <c r="AN19" s="823"/>
      <c r="AO19" s="823"/>
      <c r="AP19" s="823"/>
      <c r="AQ19" s="823"/>
      <c r="AR19" s="823"/>
      <c r="AS19" s="838">
        <v>153</v>
      </c>
      <c r="AT19" s="838"/>
      <c r="AU19" s="838"/>
      <c r="AV19" s="838"/>
      <c r="AW19" s="838"/>
      <c r="AX19" s="838"/>
      <c r="AY19" s="838">
        <v>137</v>
      </c>
      <c r="AZ19" s="838"/>
      <c r="BA19" s="838"/>
      <c r="BB19" s="838"/>
      <c r="BC19" s="838"/>
      <c r="BD19" s="838"/>
      <c r="BE19" s="712">
        <v>9894</v>
      </c>
      <c r="BF19" s="712"/>
      <c r="BG19" s="712"/>
      <c r="BH19" s="712"/>
      <c r="BI19" s="712"/>
      <c r="BJ19" s="712"/>
    </row>
    <row r="20" spans="2:63" ht="12" customHeight="1">
      <c r="C20" s="389" t="s">
        <v>780</v>
      </c>
      <c r="D20" s="389"/>
      <c r="E20" s="389"/>
      <c r="F20" s="389"/>
      <c r="G20" s="389"/>
      <c r="H20" s="389"/>
      <c r="I20" s="389"/>
      <c r="J20" s="389"/>
      <c r="K20" s="389"/>
      <c r="L20" s="389"/>
      <c r="M20" s="348"/>
      <c r="N20" s="844">
        <v>20</v>
      </c>
      <c r="O20" s="838"/>
      <c r="P20" s="838"/>
      <c r="Q20" s="838"/>
      <c r="R20" s="845"/>
      <c r="S20" s="845"/>
      <c r="T20" s="845"/>
      <c r="U20" s="823">
        <f>SUM(AA20,AG20)</f>
        <v>28</v>
      </c>
      <c r="V20" s="823"/>
      <c r="W20" s="823"/>
      <c r="X20" s="823"/>
      <c r="Y20" s="823"/>
      <c r="Z20" s="823"/>
      <c r="AA20" s="846">
        <v>10</v>
      </c>
      <c r="AB20" s="846"/>
      <c r="AC20" s="846"/>
      <c r="AD20" s="846"/>
      <c r="AE20" s="846"/>
      <c r="AF20" s="846"/>
      <c r="AG20" s="846">
        <v>18</v>
      </c>
      <c r="AH20" s="846"/>
      <c r="AI20" s="846"/>
      <c r="AJ20" s="846"/>
      <c r="AK20" s="846"/>
      <c r="AL20" s="846"/>
      <c r="AM20" s="823">
        <f>SUM(AS20,AY20)</f>
        <v>643</v>
      </c>
      <c r="AN20" s="823"/>
      <c r="AO20" s="823"/>
      <c r="AP20" s="823"/>
      <c r="AQ20" s="823"/>
      <c r="AR20" s="823"/>
      <c r="AS20" s="838">
        <v>331</v>
      </c>
      <c r="AT20" s="838"/>
      <c r="AU20" s="838"/>
      <c r="AV20" s="838"/>
      <c r="AW20" s="838"/>
      <c r="AX20" s="838"/>
      <c r="AY20" s="838">
        <v>312</v>
      </c>
      <c r="AZ20" s="838"/>
      <c r="BA20" s="838"/>
      <c r="BB20" s="838"/>
      <c r="BC20" s="838"/>
      <c r="BD20" s="838"/>
      <c r="BE20" s="838">
        <v>9453</v>
      </c>
      <c r="BF20" s="838"/>
      <c r="BG20" s="838"/>
      <c r="BH20" s="838"/>
      <c r="BI20" s="838"/>
      <c r="BJ20" s="838"/>
    </row>
    <row r="21" spans="2:63" ht="12" customHeight="1">
      <c r="C21" s="389" t="s">
        <v>761</v>
      </c>
      <c r="D21" s="389"/>
      <c r="E21" s="389"/>
      <c r="F21" s="389"/>
      <c r="G21" s="389"/>
      <c r="H21" s="389"/>
      <c r="I21" s="389"/>
      <c r="J21" s="389"/>
      <c r="K21" s="389"/>
      <c r="L21" s="389"/>
      <c r="M21" s="348"/>
      <c r="N21" s="844">
        <v>15</v>
      </c>
      <c r="O21" s="838"/>
      <c r="P21" s="838"/>
      <c r="Q21" s="838"/>
      <c r="R21" s="845"/>
      <c r="S21" s="845"/>
      <c r="T21" s="845"/>
      <c r="U21" s="823">
        <f>SUM(AA21,AG21)</f>
        <v>21</v>
      </c>
      <c r="V21" s="823"/>
      <c r="W21" s="823"/>
      <c r="X21" s="823"/>
      <c r="Y21" s="823"/>
      <c r="Z21" s="823"/>
      <c r="AA21" s="846">
        <v>8</v>
      </c>
      <c r="AB21" s="846"/>
      <c r="AC21" s="846"/>
      <c r="AD21" s="846"/>
      <c r="AE21" s="846"/>
      <c r="AF21" s="846"/>
      <c r="AG21" s="846">
        <v>13</v>
      </c>
      <c r="AH21" s="846"/>
      <c r="AI21" s="846"/>
      <c r="AJ21" s="846"/>
      <c r="AK21" s="846"/>
      <c r="AL21" s="846"/>
      <c r="AM21" s="823">
        <f>SUM(AS21,AY21)</f>
        <v>461</v>
      </c>
      <c r="AN21" s="823"/>
      <c r="AO21" s="823"/>
      <c r="AP21" s="823"/>
      <c r="AQ21" s="823"/>
      <c r="AR21" s="823"/>
      <c r="AS21" s="838">
        <v>238</v>
      </c>
      <c r="AT21" s="838"/>
      <c r="AU21" s="838"/>
      <c r="AV21" s="838"/>
      <c r="AW21" s="838"/>
      <c r="AX21" s="838"/>
      <c r="AY21" s="838">
        <v>223</v>
      </c>
      <c r="AZ21" s="838"/>
      <c r="BA21" s="838"/>
      <c r="BB21" s="838"/>
      <c r="BC21" s="838"/>
      <c r="BD21" s="838"/>
      <c r="BE21" s="838">
        <v>10115</v>
      </c>
      <c r="BF21" s="838"/>
      <c r="BG21" s="838"/>
      <c r="BH21" s="838"/>
      <c r="BI21" s="838"/>
      <c r="BJ21" s="838"/>
    </row>
    <row r="22" spans="2:63" ht="8.1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2:63" ht="12" customHeight="1">
      <c r="C23" s="400" t="s">
        <v>8</v>
      </c>
      <c r="D23" s="400"/>
      <c r="E23" s="297" t="s">
        <v>591</v>
      </c>
      <c r="F23" s="377">
        <v>-1</v>
      </c>
      <c r="G23" s="377"/>
      <c r="H23" s="4" t="s">
        <v>760</v>
      </c>
    </row>
    <row r="24" spans="2:63" ht="12" customHeight="1">
      <c r="F24" s="378">
        <v>-2</v>
      </c>
      <c r="G24" s="378"/>
      <c r="H24" s="5" t="s">
        <v>779</v>
      </c>
    </row>
    <row r="25" spans="2:63" ht="12" customHeight="1">
      <c r="B25" s="404" t="s">
        <v>9</v>
      </c>
      <c r="C25" s="404"/>
      <c r="D25" s="404"/>
      <c r="E25" s="297" t="s">
        <v>591</v>
      </c>
      <c r="F25" s="2" t="s">
        <v>758</v>
      </c>
    </row>
    <row r="27" spans="2:63" ht="12" customHeight="1">
      <c r="B27" s="380" t="s">
        <v>778</v>
      </c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0"/>
      <c r="BG27" s="380"/>
      <c r="BH27" s="380"/>
      <c r="BI27" s="380"/>
      <c r="BJ27" s="380"/>
    </row>
    <row r="28" spans="2:63" ht="12" customHeight="1">
      <c r="BJ28" s="20" t="s">
        <v>755</v>
      </c>
    </row>
    <row r="29" spans="2:63" ht="13.5" customHeight="1">
      <c r="B29" s="411" t="s">
        <v>754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 t="s">
        <v>652</v>
      </c>
      <c r="O29" s="386"/>
      <c r="P29" s="386"/>
      <c r="Q29" s="386"/>
      <c r="R29" s="386"/>
      <c r="S29" s="386"/>
      <c r="T29" s="386"/>
      <c r="U29" s="386" t="s">
        <v>651</v>
      </c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86"/>
      <c r="AL29" s="386"/>
      <c r="AM29" s="386" t="s">
        <v>687</v>
      </c>
      <c r="AN29" s="386"/>
      <c r="AO29" s="386"/>
      <c r="AP29" s="386"/>
      <c r="AQ29" s="386"/>
      <c r="AR29" s="386"/>
      <c r="AS29" s="386"/>
      <c r="AT29" s="386"/>
      <c r="AU29" s="386"/>
      <c r="AV29" s="386"/>
      <c r="AW29" s="386"/>
      <c r="AX29" s="386"/>
      <c r="AY29" s="386"/>
      <c r="AZ29" s="386"/>
      <c r="BA29" s="386"/>
      <c r="BB29" s="386"/>
      <c r="BC29" s="386"/>
      <c r="BD29" s="386"/>
      <c r="BE29" s="386" t="s">
        <v>753</v>
      </c>
      <c r="BF29" s="386"/>
      <c r="BG29" s="386"/>
      <c r="BH29" s="386"/>
      <c r="BI29" s="386"/>
      <c r="BJ29" s="387"/>
      <c r="BK29" s="478"/>
    </row>
    <row r="30" spans="2:63" ht="13.5" customHeight="1">
      <c r="B30" s="412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470" t="s">
        <v>238</v>
      </c>
      <c r="V30" s="470"/>
      <c r="W30" s="470"/>
      <c r="X30" s="470"/>
      <c r="Y30" s="470"/>
      <c r="Z30" s="470"/>
      <c r="AA30" s="470" t="s">
        <v>644</v>
      </c>
      <c r="AB30" s="470"/>
      <c r="AC30" s="470"/>
      <c r="AD30" s="470"/>
      <c r="AE30" s="470"/>
      <c r="AF30" s="470"/>
      <c r="AG30" s="470" t="s">
        <v>643</v>
      </c>
      <c r="AH30" s="470"/>
      <c r="AI30" s="470"/>
      <c r="AJ30" s="470"/>
      <c r="AK30" s="470"/>
      <c r="AL30" s="470"/>
      <c r="AM30" s="470" t="s">
        <v>238</v>
      </c>
      <c r="AN30" s="470"/>
      <c r="AO30" s="470"/>
      <c r="AP30" s="470"/>
      <c r="AQ30" s="470"/>
      <c r="AR30" s="470"/>
      <c r="AS30" s="470" t="s">
        <v>644</v>
      </c>
      <c r="AT30" s="470"/>
      <c r="AU30" s="470"/>
      <c r="AV30" s="470"/>
      <c r="AW30" s="470"/>
      <c r="AX30" s="470"/>
      <c r="AY30" s="470" t="s">
        <v>643</v>
      </c>
      <c r="AZ30" s="470"/>
      <c r="BA30" s="470"/>
      <c r="BB30" s="470"/>
      <c r="BC30" s="470"/>
      <c r="BD30" s="470"/>
      <c r="BE30" s="385"/>
      <c r="BF30" s="385"/>
      <c r="BG30" s="385"/>
      <c r="BH30" s="385"/>
      <c r="BI30" s="385"/>
      <c r="BJ30" s="388"/>
      <c r="BK30" s="478"/>
    </row>
    <row r="31" spans="2:63" ht="12" customHeight="1">
      <c r="M31" s="21"/>
      <c r="BI31" s="842" t="s">
        <v>777</v>
      </c>
      <c r="BJ31" s="843"/>
    </row>
    <row r="32" spans="2:63" ht="12" customHeight="1">
      <c r="C32" s="807" t="s">
        <v>18</v>
      </c>
      <c r="D32" s="807"/>
      <c r="E32" s="807"/>
      <c r="F32" s="807"/>
      <c r="G32" s="807"/>
      <c r="H32" s="807"/>
      <c r="I32" s="807"/>
      <c r="J32" s="807"/>
      <c r="K32" s="807"/>
      <c r="L32" s="807"/>
      <c r="M32" s="351"/>
      <c r="N32" s="825">
        <f>SUM(N34:Q73)</f>
        <v>405</v>
      </c>
      <c r="O32" s="825"/>
      <c r="P32" s="825"/>
      <c r="Q32" s="825"/>
      <c r="R32" s="847">
        <f>SUM(R34:T73)</f>
        <v>-41</v>
      </c>
      <c r="S32" s="847"/>
      <c r="T32" s="847"/>
      <c r="U32" s="825">
        <f>SUM(U34:Z73)</f>
        <v>833</v>
      </c>
      <c r="V32" s="825"/>
      <c r="W32" s="825"/>
      <c r="X32" s="825"/>
      <c r="Y32" s="825"/>
      <c r="Z32" s="825"/>
      <c r="AA32" s="825">
        <f>SUM(AA34:AF73)</f>
        <v>470</v>
      </c>
      <c r="AB32" s="825"/>
      <c r="AC32" s="825"/>
      <c r="AD32" s="825"/>
      <c r="AE32" s="825"/>
      <c r="AF32" s="825"/>
      <c r="AG32" s="825">
        <f>SUM(AG34:AL73)</f>
        <v>363</v>
      </c>
      <c r="AH32" s="825"/>
      <c r="AI32" s="825"/>
      <c r="AJ32" s="825"/>
      <c r="AK32" s="825"/>
      <c r="AL32" s="825"/>
      <c r="AM32" s="825">
        <f>SUM(AM34:AR73)</f>
        <v>14279</v>
      </c>
      <c r="AN32" s="825"/>
      <c r="AO32" s="825"/>
      <c r="AP32" s="825"/>
      <c r="AQ32" s="825"/>
      <c r="AR32" s="825"/>
      <c r="AS32" s="825">
        <f>SUM(AS34:AX73)</f>
        <v>7498</v>
      </c>
      <c r="AT32" s="825"/>
      <c r="AU32" s="825"/>
      <c r="AV32" s="825"/>
      <c r="AW32" s="825"/>
      <c r="AX32" s="825"/>
      <c r="AY32" s="825">
        <f>SUM(AY34:BD73)</f>
        <v>6781</v>
      </c>
      <c r="AZ32" s="825"/>
      <c r="BA32" s="825"/>
      <c r="BB32" s="825"/>
      <c r="BC32" s="825"/>
      <c r="BD32" s="825"/>
      <c r="BE32" s="825">
        <f>SUM(BE34:BJ73)</f>
        <v>538155</v>
      </c>
      <c r="BF32" s="825"/>
      <c r="BG32" s="825"/>
      <c r="BH32" s="825"/>
      <c r="BI32" s="825"/>
      <c r="BJ32" s="825"/>
    </row>
    <row r="33" spans="3:62" ht="8.1" customHeight="1">
      <c r="M33" s="22"/>
      <c r="BI33" s="353"/>
      <c r="BJ33" s="352"/>
    </row>
    <row r="34" spans="3:62" ht="12" customHeight="1">
      <c r="C34" s="389" t="s">
        <v>751</v>
      </c>
      <c r="D34" s="389"/>
      <c r="E34" s="389"/>
      <c r="F34" s="389"/>
      <c r="G34" s="389"/>
      <c r="H34" s="389"/>
      <c r="I34" s="389"/>
      <c r="J34" s="389"/>
      <c r="K34" s="389"/>
      <c r="L34" s="389"/>
      <c r="M34" s="348"/>
      <c r="N34" s="844">
        <v>6</v>
      </c>
      <c r="O34" s="838"/>
      <c r="P34" s="838"/>
      <c r="Q34" s="838"/>
      <c r="R34" s="845">
        <v>-4</v>
      </c>
      <c r="S34" s="845"/>
      <c r="T34" s="845"/>
      <c r="U34" s="823">
        <f>SUM(AA34,AG34)</f>
        <v>21</v>
      </c>
      <c r="V34" s="823"/>
      <c r="W34" s="823"/>
      <c r="X34" s="823"/>
      <c r="Y34" s="823"/>
      <c r="Z34" s="823"/>
      <c r="AA34" s="846">
        <v>12</v>
      </c>
      <c r="AB34" s="846"/>
      <c r="AC34" s="846"/>
      <c r="AD34" s="846"/>
      <c r="AE34" s="846"/>
      <c r="AF34" s="846"/>
      <c r="AG34" s="846">
        <v>9</v>
      </c>
      <c r="AH34" s="846"/>
      <c r="AI34" s="846"/>
      <c r="AJ34" s="846"/>
      <c r="AK34" s="846"/>
      <c r="AL34" s="846"/>
      <c r="AM34" s="823">
        <f>SUM(AS34,AY34)</f>
        <v>205</v>
      </c>
      <c r="AN34" s="823"/>
      <c r="AO34" s="823"/>
      <c r="AP34" s="823"/>
      <c r="AQ34" s="823"/>
      <c r="AR34" s="823"/>
      <c r="AS34" s="838">
        <v>119</v>
      </c>
      <c r="AT34" s="838"/>
      <c r="AU34" s="838"/>
      <c r="AV34" s="838"/>
      <c r="AW34" s="838"/>
      <c r="AX34" s="838"/>
      <c r="AY34" s="838">
        <v>86</v>
      </c>
      <c r="AZ34" s="838"/>
      <c r="BA34" s="838"/>
      <c r="BB34" s="838"/>
      <c r="BC34" s="838"/>
      <c r="BD34" s="838"/>
      <c r="BE34" s="838">
        <v>12900</v>
      </c>
      <c r="BF34" s="838"/>
      <c r="BG34" s="838"/>
      <c r="BH34" s="838"/>
      <c r="BI34" s="838"/>
      <c r="BJ34" s="838"/>
    </row>
    <row r="35" spans="3:62" ht="12" customHeight="1">
      <c r="C35" s="389" t="s">
        <v>749</v>
      </c>
      <c r="D35" s="389"/>
      <c r="E35" s="389"/>
      <c r="F35" s="389"/>
      <c r="G35" s="389"/>
      <c r="H35" s="389"/>
      <c r="I35" s="389"/>
      <c r="J35" s="389"/>
      <c r="K35" s="389"/>
      <c r="L35" s="389"/>
      <c r="M35" s="348"/>
      <c r="N35" s="844">
        <v>9</v>
      </c>
      <c r="O35" s="838"/>
      <c r="P35" s="838"/>
      <c r="Q35" s="838"/>
      <c r="R35" s="845"/>
      <c r="S35" s="845"/>
      <c r="T35" s="845"/>
      <c r="U35" s="823">
        <f>SUM(AA35,AG35)</f>
        <v>18</v>
      </c>
      <c r="V35" s="823"/>
      <c r="W35" s="823"/>
      <c r="X35" s="823"/>
      <c r="Y35" s="823"/>
      <c r="Z35" s="823"/>
      <c r="AA35" s="846">
        <v>9</v>
      </c>
      <c r="AB35" s="846"/>
      <c r="AC35" s="846"/>
      <c r="AD35" s="846"/>
      <c r="AE35" s="846"/>
      <c r="AF35" s="846"/>
      <c r="AG35" s="846">
        <v>9</v>
      </c>
      <c r="AH35" s="846"/>
      <c r="AI35" s="846"/>
      <c r="AJ35" s="846"/>
      <c r="AK35" s="846"/>
      <c r="AL35" s="846"/>
      <c r="AM35" s="823">
        <f>SUM(AS35,AY35)</f>
        <v>260</v>
      </c>
      <c r="AN35" s="823"/>
      <c r="AO35" s="823"/>
      <c r="AP35" s="823"/>
      <c r="AQ35" s="823"/>
      <c r="AR35" s="823"/>
      <c r="AS35" s="838">
        <v>128</v>
      </c>
      <c r="AT35" s="838"/>
      <c r="AU35" s="838"/>
      <c r="AV35" s="838"/>
      <c r="AW35" s="838"/>
      <c r="AX35" s="838"/>
      <c r="AY35" s="838">
        <v>132</v>
      </c>
      <c r="AZ35" s="838"/>
      <c r="BA35" s="838"/>
      <c r="BB35" s="838"/>
      <c r="BC35" s="838"/>
      <c r="BD35" s="838"/>
      <c r="BE35" s="838">
        <v>13769</v>
      </c>
      <c r="BF35" s="838"/>
      <c r="BG35" s="838"/>
      <c r="BH35" s="838"/>
      <c r="BI35" s="838"/>
      <c r="BJ35" s="838"/>
    </row>
    <row r="36" spans="3:62" ht="12" customHeight="1">
      <c r="C36" s="389" t="s">
        <v>748</v>
      </c>
      <c r="D36" s="389"/>
      <c r="E36" s="389"/>
      <c r="F36" s="389"/>
      <c r="G36" s="389"/>
      <c r="H36" s="389"/>
      <c r="I36" s="389"/>
      <c r="J36" s="389"/>
      <c r="K36" s="389"/>
      <c r="L36" s="389"/>
      <c r="M36" s="348"/>
      <c r="N36" s="844">
        <v>6</v>
      </c>
      <c r="O36" s="838"/>
      <c r="P36" s="838"/>
      <c r="Q36" s="838"/>
      <c r="R36" s="845">
        <v>-5</v>
      </c>
      <c r="S36" s="845"/>
      <c r="T36" s="845"/>
      <c r="U36" s="823">
        <f>SUM(AA36,AG36)</f>
        <v>23</v>
      </c>
      <c r="V36" s="823"/>
      <c r="W36" s="823"/>
      <c r="X36" s="823"/>
      <c r="Y36" s="823"/>
      <c r="Z36" s="823"/>
      <c r="AA36" s="846">
        <v>13</v>
      </c>
      <c r="AB36" s="846"/>
      <c r="AC36" s="846"/>
      <c r="AD36" s="846"/>
      <c r="AE36" s="846"/>
      <c r="AF36" s="846"/>
      <c r="AG36" s="846">
        <v>10</v>
      </c>
      <c r="AH36" s="846"/>
      <c r="AI36" s="846"/>
      <c r="AJ36" s="846"/>
      <c r="AK36" s="846"/>
      <c r="AL36" s="846"/>
      <c r="AM36" s="823">
        <f>SUM(AS36,AY36)</f>
        <v>197</v>
      </c>
      <c r="AN36" s="823"/>
      <c r="AO36" s="823"/>
      <c r="AP36" s="823"/>
      <c r="AQ36" s="823"/>
      <c r="AR36" s="823"/>
      <c r="AS36" s="838">
        <v>108</v>
      </c>
      <c r="AT36" s="838"/>
      <c r="AU36" s="838"/>
      <c r="AV36" s="838"/>
      <c r="AW36" s="838"/>
      <c r="AX36" s="838"/>
      <c r="AY36" s="838">
        <v>89</v>
      </c>
      <c r="AZ36" s="838"/>
      <c r="BA36" s="838"/>
      <c r="BB36" s="838"/>
      <c r="BC36" s="838"/>
      <c r="BD36" s="838"/>
      <c r="BE36" s="838">
        <v>11375</v>
      </c>
      <c r="BF36" s="838"/>
      <c r="BG36" s="838"/>
      <c r="BH36" s="838"/>
      <c r="BI36" s="838"/>
      <c r="BJ36" s="838"/>
    </row>
    <row r="37" spans="3:62" ht="12" customHeight="1">
      <c r="C37" s="389" t="s">
        <v>745</v>
      </c>
      <c r="D37" s="389"/>
      <c r="E37" s="389"/>
      <c r="F37" s="389"/>
      <c r="G37" s="389"/>
      <c r="H37" s="389"/>
      <c r="I37" s="389"/>
      <c r="J37" s="389"/>
      <c r="K37" s="389"/>
      <c r="L37" s="389"/>
      <c r="M37" s="348"/>
      <c r="N37" s="844">
        <v>15</v>
      </c>
      <c r="O37" s="838"/>
      <c r="P37" s="838"/>
      <c r="Q37" s="838"/>
      <c r="R37" s="845">
        <v>-2</v>
      </c>
      <c r="S37" s="845"/>
      <c r="T37" s="845"/>
      <c r="U37" s="823">
        <f>SUM(AA37,AG37)</f>
        <v>31</v>
      </c>
      <c r="V37" s="823"/>
      <c r="W37" s="823"/>
      <c r="X37" s="823"/>
      <c r="Y37" s="823"/>
      <c r="Z37" s="823"/>
      <c r="AA37" s="846">
        <v>18</v>
      </c>
      <c r="AB37" s="846"/>
      <c r="AC37" s="846"/>
      <c r="AD37" s="846"/>
      <c r="AE37" s="846"/>
      <c r="AF37" s="846"/>
      <c r="AG37" s="846">
        <v>13</v>
      </c>
      <c r="AH37" s="846"/>
      <c r="AI37" s="846"/>
      <c r="AJ37" s="846"/>
      <c r="AK37" s="846"/>
      <c r="AL37" s="846"/>
      <c r="AM37" s="823">
        <f>SUM(AS37,AY37)</f>
        <v>560</v>
      </c>
      <c r="AN37" s="823"/>
      <c r="AO37" s="823"/>
      <c r="AP37" s="823"/>
      <c r="AQ37" s="823"/>
      <c r="AR37" s="823"/>
      <c r="AS37" s="838">
        <v>309</v>
      </c>
      <c r="AT37" s="838"/>
      <c r="AU37" s="838"/>
      <c r="AV37" s="838"/>
      <c r="AW37" s="838"/>
      <c r="AX37" s="838"/>
      <c r="AY37" s="838">
        <v>251</v>
      </c>
      <c r="AZ37" s="838"/>
      <c r="BA37" s="838"/>
      <c r="BB37" s="838"/>
      <c r="BC37" s="838"/>
      <c r="BD37" s="838"/>
      <c r="BE37" s="838">
        <v>24378</v>
      </c>
      <c r="BF37" s="838"/>
      <c r="BG37" s="838"/>
      <c r="BH37" s="838"/>
      <c r="BI37" s="838"/>
      <c r="BJ37" s="838"/>
    </row>
    <row r="38" spans="3:62" ht="12" customHeight="1">
      <c r="C38" s="389" t="s">
        <v>776</v>
      </c>
      <c r="D38" s="389"/>
      <c r="E38" s="389"/>
      <c r="F38" s="389"/>
      <c r="G38" s="389"/>
      <c r="H38" s="389"/>
      <c r="I38" s="389"/>
      <c r="J38" s="389"/>
      <c r="K38" s="389"/>
      <c r="L38" s="389"/>
      <c r="M38" s="348"/>
      <c r="N38" s="844">
        <v>15</v>
      </c>
      <c r="O38" s="838"/>
      <c r="P38" s="838"/>
      <c r="Q38" s="838"/>
      <c r="R38" s="845"/>
      <c r="S38" s="845"/>
      <c r="T38" s="845"/>
      <c r="U38" s="823">
        <f>SUM(AA38,AG38)</f>
        <v>27</v>
      </c>
      <c r="V38" s="823"/>
      <c r="W38" s="823"/>
      <c r="X38" s="823"/>
      <c r="Y38" s="823"/>
      <c r="Z38" s="823"/>
      <c r="AA38" s="846">
        <v>17</v>
      </c>
      <c r="AB38" s="846"/>
      <c r="AC38" s="846"/>
      <c r="AD38" s="846"/>
      <c r="AE38" s="846"/>
      <c r="AF38" s="846"/>
      <c r="AG38" s="846">
        <v>10</v>
      </c>
      <c r="AH38" s="846"/>
      <c r="AI38" s="846"/>
      <c r="AJ38" s="846"/>
      <c r="AK38" s="846"/>
      <c r="AL38" s="846"/>
      <c r="AM38" s="823">
        <f>SUM(AS38,AY38)</f>
        <v>546</v>
      </c>
      <c r="AN38" s="823"/>
      <c r="AO38" s="823"/>
      <c r="AP38" s="823"/>
      <c r="AQ38" s="823"/>
      <c r="AR38" s="823"/>
      <c r="AS38" s="838">
        <v>308</v>
      </c>
      <c r="AT38" s="838"/>
      <c r="AU38" s="838"/>
      <c r="AV38" s="838"/>
      <c r="AW38" s="838"/>
      <c r="AX38" s="838"/>
      <c r="AY38" s="838">
        <v>238</v>
      </c>
      <c r="AZ38" s="838"/>
      <c r="BA38" s="838"/>
      <c r="BB38" s="838"/>
      <c r="BC38" s="838"/>
      <c r="BD38" s="838"/>
      <c r="BE38" s="712">
        <v>24736</v>
      </c>
      <c r="BF38" s="712"/>
      <c r="BG38" s="712"/>
      <c r="BH38" s="712"/>
      <c r="BI38" s="712"/>
      <c r="BJ38" s="712"/>
    </row>
    <row r="39" spans="3:62" ht="8.1" customHeight="1">
      <c r="M39" s="6"/>
      <c r="N39" s="350"/>
      <c r="O39" s="322"/>
      <c r="P39" s="322"/>
      <c r="Q39" s="322"/>
      <c r="R39" s="322"/>
      <c r="S39" s="322"/>
      <c r="T39" s="322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  <c r="BI39" s="322"/>
      <c r="BJ39" s="322"/>
    </row>
    <row r="40" spans="3:62" ht="12" customHeight="1">
      <c r="C40" s="389" t="s">
        <v>741</v>
      </c>
      <c r="D40" s="389"/>
      <c r="E40" s="389"/>
      <c r="F40" s="389"/>
      <c r="G40" s="389"/>
      <c r="H40" s="389"/>
      <c r="I40" s="389"/>
      <c r="J40" s="389"/>
      <c r="K40" s="389"/>
      <c r="L40" s="389"/>
      <c r="M40" s="348"/>
      <c r="N40" s="844">
        <v>13</v>
      </c>
      <c r="O40" s="838"/>
      <c r="P40" s="838"/>
      <c r="Q40" s="838"/>
      <c r="R40" s="845">
        <v>-1</v>
      </c>
      <c r="S40" s="845"/>
      <c r="T40" s="845"/>
      <c r="U40" s="823">
        <f>SUM(AA40,AG40)</f>
        <v>26</v>
      </c>
      <c r="V40" s="823"/>
      <c r="W40" s="823"/>
      <c r="X40" s="823"/>
      <c r="Y40" s="823"/>
      <c r="Z40" s="823"/>
      <c r="AA40" s="846">
        <v>16</v>
      </c>
      <c r="AB40" s="846"/>
      <c r="AC40" s="846"/>
      <c r="AD40" s="846"/>
      <c r="AE40" s="846"/>
      <c r="AF40" s="846"/>
      <c r="AG40" s="846">
        <v>10</v>
      </c>
      <c r="AH40" s="846"/>
      <c r="AI40" s="846"/>
      <c r="AJ40" s="846"/>
      <c r="AK40" s="846"/>
      <c r="AL40" s="846"/>
      <c r="AM40" s="823">
        <f>SUM(AS40,AY40)</f>
        <v>440</v>
      </c>
      <c r="AN40" s="823"/>
      <c r="AO40" s="823"/>
      <c r="AP40" s="823"/>
      <c r="AQ40" s="823"/>
      <c r="AR40" s="823"/>
      <c r="AS40" s="838">
        <v>233</v>
      </c>
      <c r="AT40" s="838"/>
      <c r="AU40" s="838"/>
      <c r="AV40" s="838"/>
      <c r="AW40" s="838"/>
      <c r="AX40" s="838"/>
      <c r="AY40" s="838">
        <v>207</v>
      </c>
      <c r="AZ40" s="838"/>
      <c r="BA40" s="838"/>
      <c r="BB40" s="838"/>
      <c r="BC40" s="838"/>
      <c r="BD40" s="838"/>
      <c r="BE40" s="838">
        <v>25889</v>
      </c>
      <c r="BF40" s="838"/>
      <c r="BG40" s="838"/>
      <c r="BH40" s="838"/>
      <c r="BI40" s="838"/>
      <c r="BJ40" s="838"/>
    </row>
    <row r="41" spans="3:62" ht="12" customHeight="1">
      <c r="C41" s="389" t="s">
        <v>775</v>
      </c>
      <c r="D41" s="389"/>
      <c r="E41" s="389"/>
      <c r="F41" s="389"/>
      <c r="G41" s="389"/>
      <c r="H41" s="389"/>
      <c r="I41" s="389"/>
      <c r="J41" s="389"/>
      <c r="K41" s="389"/>
      <c r="L41" s="389"/>
      <c r="M41" s="348"/>
      <c r="N41" s="844">
        <v>12</v>
      </c>
      <c r="O41" s="838"/>
      <c r="P41" s="838"/>
      <c r="Q41" s="838"/>
      <c r="R41" s="845">
        <v>-1</v>
      </c>
      <c r="S41" s="845"/>
      <c r="T41" s="845"/>
      <c r="U41" s="823">
        <f>SUM(AA41,AG41)</f>
        <v>25</v>
      </c>
      <c r="V41" s="823"/>
      <c r="W41" s="823"/>
      <c r="X41" s="823"/>
      <c r="Y41" s="823"/>
      <c r="Z41" s="823"/>
      <c r="AA41" s="846">
        <v>14</v>
      </c>
      <c r="AB41" s="846"/>
      <c r="AC41" s="846"/>
      <c r="AD41" s="846"/>
      <c r="AE41" s="846"/>
      <c r="AF41" s="846"/>
      <c r="AG41" s="846">
        <v>11</v>
      </c>
      <c r="AH41" s="846"/>
      <c r="AI41" s="846"/>
      <c r="AJ41" s="846"/>
      <c r="AK41" s="846"/>
      <c r="AL41" s="846"/>
      <c r="AM41" s="823">
        <f>SUM(AS41,AY41)</f>
        <v>413</v>
      </c>
      <c r="AN41" s="823"/>
      <c r="AO41" s="823"/>
      <c r="AP41" s="823"/>
      <c r="AQ41" s="823"/>
      <c r="AR41" s="823"/>
      <c r="AS41" s="838">
        <v>213</v>
      </c>
      <c r="AT41" s="838"/>
      <c r="AU41" s="838"/>
      <c r="AV41" s="838"/>
      <c r="AW41" s="838"/>
      <c r="AX41" s="838"/>
      <c r="AY41" s="838">
        <v>200</v>
      </c>
      <c r="AZ41" s="838"/>
      <c r="BA41" s="838"/>
      <c r="BB41" s="838"/>
      <c r="BC41" s="838"/>
      <c r="BD41" s="838"/>
      <c r="BE41" s="838">
        <v>18361</v>
      </c>
      <c r="BF41" s="838"/>
      <c r="BG41" s="838"/>
      <c r="BH41" s="838"/>
      <c r="BI41" s="838"/>
      <c r="BJ41" s="838"/>
    </row>
    <row r="42" spans="3:62" ht="12" customHeight="1">
      <c r="C42" s="389" t="s">
        <v>774</v>
      </c>
      <c r="D42" s="389"/>
      <c r="E42" s="389"/>
      <c r="F42" s="389"/>
      <c r="G42" s="389"/>
      <c r="H42" s="389"/>
      <c r="I42" s="389"/>
      <c r="J42" s="389"/>
      <c r="K42" s="389"/>
      <c r="L42" s="389"/>
      <c r="M42" s="348"/>
      <c r="N42" s="844">
        <v>12</v>
      </c>
      <c r="O42" s="838"/>
      <c r="P42" s="838"/>
      <c r="Q42" s="838"/>
      <c r="R42" s="845"/>
      <c r="S42" s="845"/>
      <c r="T42" s="845"/>
      <c r="U42" s="823">
        <f>SUM(AA42,AG42)</f>
        <v>24</v>
      </c>
      <c r="V42" s="823"/>
      <c r="W42" s="823"/>
      <c r="X42" s="823"/>
      <c r="Y42" s="823"/>
      <c r="Z42" s="823"/>
      <c r="AA42" s="846">
        <v>14</v>
      </c>
      <c r="AB42" s="846"/>
      <c r="AC42" s="846"/>
      <c r="AD42" s="846"/>
      <c r="AE42" s="846"/>
      <c r="AF42" s="846"/>
      <c r="AG42" s="846">
        <v>10</v>
      </c>
      <c r="AH42" s="846"/>
      <c r="AI42" s="846"/>
      <c r="AJ42" s="846"/>
      <c r="AK42" s="846"/>
      <c r="AL42" s="846"/>
      <c r="AM42" s="823">
        <f>SUM(AS42,AY42)</f>
        <v>404</v>
      </c>
      <c r="AN42" s="823"/>
      <c r="AO42" s="823"/>
      <c r="AP42" s="823"/>
      <c r="AQ42" s="823"/>
      <c r="AR42" s="823"/>
      <c r="AS42" s="838">
        <v>232</v>
      </c>
      <c r="AT42" s="838"/>
      <c r="AU42" s="838"/>
      <c r="AV42" s="838"/>
      <c r="AW42" s="838"/>
      <c r="AX42" s="838"/>
      <c r="AY42" s="838">
        <v>172</v>
      </c>
      <c r="AZ42" s="838"/>
      <c r="BA42" s="838"/>
      <c r="BB42" s="838"/>
      <c r="BC42" s="838"/>
      <c r="BD42" s="838"/>
      <c r="BE42" s="838">
        <v>14586</v>
      </c>
      <c r="BF42" s="838"/>
      <c r="BG42" s="838"/>
      <c r="BH42" s="838"/>
      <c r="BI42" s="838"/>
      <c r="BJ42" s="838"/>
    </row>
    <row r="43" spans="3:62" ht="12" customHeight="1">
      <c r="C43" s="389" t="s">
        <v>736</v>
      </c>
      <c r="D43" s="389"/>
      <c r="E43" s="389"/>
      <c r="F43" s="389"/>
      <c r="G43" s="389"/>
      <c r="H43" s="389"/>
      <c r="I43" s="389"/>
      <c r="J43" s="389"/>
      <c r="K43" s="389"/>
      <c r="L43" s="389"/>
      <c r="M43" s="348"/>
      <c r="N43" s="844">
        <v>9</v>
      </c>
      <c r="O43" s="838"/>
      <c r="P43" s="838"/>
      <c r="Q43" s="838"/>
      <c r="R43" s="845"/>
      <c r="S43" s="845"/>
      <c r="T43" s="845"/>
      <c r="U43" s="823">
        <f>SUM(AA43,AG43)</f>
        <v>20</v>
      </c>
      <c r="V43" s="823"/>
      <c r="W43" s="823"/>
      <c r="X43" s="823"/>
      <c r="Y43" s="823"/>
      <c r="Z43" s="823"/>
      <c r="AA43" s="846">
        <v>12</v>
      </c>
      <c r="AB43" s="846"/>
      <c r="AC43" s="846"/>
      <c r="AD43" s="846"/>
      <c r="AE43" s="846"/>
      <c r="AF43" s="846"/>
      <c r="AG43" s="846">
        <v>8</v>
      </c>
      <c r="AH43" s="846"/>
      <c r="AI43" s="846"/>
      <c r="AJ43" s="846"/>
      <c r="AK43" s="846"/>
      <c r="AL43" s="846"/>
      <c r="AM43" s="823">
        <f>SUM(AS43,AY43)</f>
        <v>340</v>
      </c>
      <c r="AN43" s="823"/>
      <c r="AO43" s="823"/>
      <c r="AP43" s="823"/>
      <c r="AQ43" s="823"/>
      <c r="AR43" s="823"/>
      <c r="AS43" s="838">
        <v>151</v>
      </c>
      <c r="AT43" s="838"/>
      <c r="AU43" s="838"/>
      <c r="AV43" s="838"/>
      <c r="AW43" s="838"/>
      <c r="AX43" s="838"/>
      <c r="AY43" s="838">
        <v>189</v>
      </c>
      <c r="AZ43" s="838"/>
      <c r="BA43" s="838"/>
      <c r="BB43" s="838"/>
      <c r="BC43" s="838"/>
      <c r="BD43" s="838"/>
      <c r="BE43" s="838">
        <v>15086</v>
      </c>
      <c r="BF43" s="838"/>
      <c r="BG43" s="838"/>
      <c r="BH43" s="838"/>
      <c r="BI43" s="838"/>
      <c r="BJ43" s="838"/>
    </row>
    <row r="44" spans="3:62" ht="12" customHeight="1">
      <c r="C44" s="389" t="s">
        <v>734</v>
      </c>
      <c r="D44" s="389"/>
      <c r="E44" s="389"/>
      <c r="F44" s="389"/>
      <c r="G44" s="389"/>
      <c r="H44" s="389"/>
      <c r="I44" s="389"/>
      <c r="J44" s="389"/>
      <c r="K44" s="389"/>
      <c r="L44" s="389"/>
      <c r="M44" s="348"/>
      <c r="N44" s="844">
        <v>12</v>
      </c>
      <c r="O44" s="838"/>
      <c r="P44" s="838"/>
      <c r="Q44" s="838"/>
      <c r="R44" s="845">
        <v>-4</v>
      </c>
      <c r="S44" s="845"/>
      <c r="T44" s="845"/>
      <c r="U44" s="823">
        <f>SUM(AA44,AG44)</f>
        <v>29</v>
      </c>
      <c r="V44" s="823"/>
      <c r="W44" s="823"/>
      <c r="X44" s="823"/>
      <c r="Y44" s="823"/>
      <c r="Z44" s="823"/>
      <c r="AA44" s="846">
        <v>16</v>
      </c>
      <c r="AB44" s="846"/>
      <c r="AC44" s="846"/>
      <c r="AD44" s="846"/>
      <c r="AE44" s="846"/>
      <c r="AF44" s="846"/>
      <c r="AG44" s="846">
        <v>13</v>
      </c>
      <c r="AH44" s="846"/>
      <c r="AI44" s="846"/>
      <c r="AJ44" s="846"/>
      <c r="AK44" s="846"/>
      <c r="AL44" s="846"/>
      <c r="AM44" s="823">
        <f>SUM(AS44,AY44)</f>
        <v>424</v>
      </c>
      <c r="AN44" s="823"/>
      <c r="AO44" s="823"/>
      <c r="AP44" s="823"/>
      <c r="AQ44" s="823"/>
      <c r="AR44" s="823"/>
      <c r="AS44" s="838">
        <v>213</v>
      </c>
      <c r="AT44" s="838"/>
      <c r="AU44" s="838"/>
      <c r="AV44" s="838"/>
      <c r="AW44" s="838"/>
      <c r="AX44" s="838"/>
      <c r="AY44" s="838">
        <v>211</v>
      </c>
      <c r="AZ44" s="838"/>
      <c r="BA44" s="838"/>
      <c r="BB44" s="838"/>
      <c r="BC44" s="838"/>
      <c r="BD44" s="838"/>
      <c r="BE44" s="838">
        <v>19968</v>
      </c>
      <c r="BF44" s="838"/>
      <c r="BG44" s="838"/>
      <c r="BH44" s="838"/>
      <c r="BI44" s="838"/>
      <c r="BJ44" s="838"/>
    </row>
    <row r="45" spans="3:62" ht="8.1" customHeight="1">
      <c r="M45" s="6"/>
      <c r="N45" s="350"/>
      <c r="O45" s="322"/>
      <c r="P45" s="322"/>
      <c r="Q45" s="322"/>
      <c r="R45" s="322"/>
      <c r="S45" s="322"/>
      <c r="T45" s="322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S45" s="322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322"/>
      <c r="BF45" s="322"/>
      <c r="BG45" s="322"/>
      <c r="BH45" s="322"/>
      <c r="BI45" s="322"/>
      <c r="BJ45" s="322"/>
    </row>
    <row r="46" spans="3:62" ht="12" customHeight="1">
      <c r="C46" s="389" t="s">
        <v>731</v>
      </c>
      <c r="D46" s="389"/>
      <c r="E46" s="389"/>
      <c r="F46" s="389"/>
      <c r="G46" s="389"/>
      <c r="H46" s="389"/>
      <c r="I46" s="389"/>
      <c r="J46" s="389"/>
      <c r="K46" s="389"/>
      <c r="L46" s="389"/>
      <c r="M46" s="348"/>
      <c r="N46" s="844">
        <v>14</v>
      </c>
      <c r="O46" s="838"/>
      <c r="P46" s="838"/>
      <c r="Q46" s="838"/>
      <c r="R46" s="845"/>
      <c r="S46" s="845"/>
      <c r="T46" s="845"/>
      <c r="U46" s="823">
        <f>SUM(AA46,AG46)</f>
        <v>26</v>
      </c>
      <c r="V46" s="823"/>
      <c r="W46" s="823"/>
      <c r="X46" s="823"/>
      <c r="Y46" s="823"/>
      <c r="Z46" s="823"/>
      <c r="AA46" s="846">
        <v>20</v>
      </c>
      <c r="AB46" s="846"/>
      <c r="AC46" s="846"/>
      <c r="AD46" s="846"/>
      <c r="AE46" s="846"/>
      <c r="AF46" s="846"/>
      <c r="AG46" s="846">
        <v>6</v>
      </c>
      <c r="AH46" s="846"/>
      <c r="AI46" s="846"/>
      <c r="AJ46" s="846"/>
      <c r="AK46" s="846"/>
      <c r="AL46" s="846"/>
      <c r="AM46" s="823">
        <f>SUM(AS46,AY46)</f>
        <v>474</v>
      </c>
      <c r="AN46" s="823"/>
      <c r="AO46" s="823"/>
      <c r="AP46" s="823"/>
      <c r="AQ46" s="823"/>
      <c r="AR46" s="823"/>
      <c r="AS46" s="838">
        <v>264</v>
      </c>
      <c r="AT46" s="838"/>
      <c r="AU46" s="838"/>
      <c r="AV46" s="838"/>
      <c r="AW46" s="838"/>
      <c r="AX46" s="838"/>
      <c r="AY46" s="838">
        <v>210</v>
      </c>
      <c r="AZ46" s="838"/>
      <c r="BA46" s="838"/>
      <c r="BB46" s="838"/>
      <c r="BC46" s="838"/>
      <c r="BD46" s="838"/>
      <c r="BE46" s="838">
        <v>15647</v>
      </c>
      <c r="BF46" s="838"/>
      <c r="BG46" s="838"/>
      <c r="BH46" s="838"/>
      <c r="BI46" s="838"/>
      <c r="BJ46" s="838"/>
    </row>
    <row r="47" spans="3:62" ht="12" customHeight="1">
      <c r="C47" s="389" t="s">
        <v>773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48"/>
      <c r="N47" s="844">
        <v>12</v>
      </c>
      <c r="O47" s="838"/>
      <c r="P47" s="838"/>
      <c r="Q47" s="838"/>
      <c r="R47" s="845"/>
      <c r="S47" s="845"/>
      <c r="T47" s="845"/>
      <c r="U47" s="823">
        <f>SUM(AA47,AG47)</f>
        <v>22</v>
      </c>
      <c r="V47" s="823"/>
      <c r="W47" s="823"/>
      <c r="X47" s="823"/>
      <c r="Y47" s="823"/>
      <c r="Z47" s="823"/>
      <c r="AA47" s="846">
        <v>13</v>
      </c>
      <c r="AB47" s="846"/>
      <c r="AC47" s="846"/>
      <c r="AD47" s="846"/>
      <c r="AE47" s="846"/>
      <c r="AF47" s="846"/>
      <c r="AG47" s="846">
        <v>9</v>
      </c>
      <c r="AH47" s="846"/>
      <c r="AI47" s="846"/>
      <c r="AJ47" s="846"/>
      <c r="AK47" s="846"/>
      <c r="AL47" s="846"/>
      <c r="AM47" s="823">
        <f>SUM(AS47,AY47)</f>
        <v>425</v>
      </c>
      <c r="AN47" s="823"/>
      <c r="AO47" s="823"/>
      <c r="AP47" s="823"/>
      <c r="AQ47" s="823"/>
      <c r="AR47" s="823"/>
      <c r="AS47" s="838">
        <v>223</v>
      </c>
      <c r="AT47" s="838"/>
      <c r="AU47" s="838"/>
      <c r="AV47" s="838"/>
      <c r="AW47" s="838"/>
      <c r="AX47" s="838"/>
      <c r="AY47" s="838">
        <v>202</v>
      </c>
      <c r="AZ47" s="838"/>
      <c r="BA47" s="838"/>
      <c r="BB47" s="838"/>
      <c r="BC47" s="838"/>
      <c r="BD47" s="838"/>
      <c r="BE47" s="838">
        <v>13839</v>
      </c>
      <c r="BF47" s="838"/>
      <c r="BG47" s="838"/>
      <c r="BH47" s="838"/>
      <c r="BI47" s="838"/>
      <c r="BJ47" s="838"/>
    </row>
    <row r="48" spans="3:62" ht="12" customHeight="1">
      <c r="C48" s="389" t="s">
        <v>730</v>
      </c>
      <c r="D48" s="389"/>
      <c r="E48" s="389"/>
      <c r="F48" s="389"/>
      <c r="G48" s="389"/>
      <c r="H48" s="389"/>
      <c r="I48" s="389"/>
      <c r="J48" s="389"/>
      <c r="K48" s="389"/>
      <c r="L48" s="389"/>
      <c r="M48" s="348"/>
      <c r="N48" s="844">
        <v>15</v>
      </c>
      <c r="O48" s="838"/>
      <c r="P48" s="838"/>
      <c r="Q48" s="838"/>
      <c r="R48" s="845"/>
      <c r="S48" s="845"/>
      <c r="T48" s="845"/>
      <c r="U48" s="823">
        <f>SUM(AA48,AG48)</f>
        <v>25</v>
      </c>
      <c r="V48" s="823"/>
      <c r="W48" s="823"/>
      <c r="X48" s="823"/>
      <c r="Y48" s="823"/>
      <c r="Z48" s="823"/>
      <c r="AA48" s="846">
        <v>15</v>
      </c>
      <c r="AB48" s="846"/>
      <c r="AC48" s="846"/>
      <c r="AD48" s="846"/>
      <c r="AE48" s="846"/>
      <c r="AF48" s="846"/>
      <c r="AG48" s="846">
        <v>10</v>
      </c>
      <c r="AH48" s="846"/>
      <c r="AI48" s="846"/>
      <c r="AJ48" s="846"/>
      <c r="AK48" s="846"/>
      <c r="AL48" s="846"/>
      <c r="AM48" s="823">
        <f>SUM(AS48,AY48)</f>
        <v>517</v>
      </c>
      <c r="AN48" s="823"/>
      <c r="AO48" s="823"/>
      <c r="AP48" s="823"/>
      <c r="AQ48" s="823"/>
      <c r="AR48" s="823"/>
      <c r="AS48" s="838">
        <v>269</v>
      </c>
      <c r="AT48" s="838"/>
      <c r="AU48" s="838"/>
      <c r="AV48" s="838"/>
      <c r="AW48" s="838"/>
      <c r="AX48" s="838"/>
      <c r="AY48" s="838">
        <v>248</v>
      </c>
      <c r="AZ48" s="838"/>
      <c r="BA48" s="838"/>
      <c r="BB48" s="838"/>
      <c r="BC48" s="838"/>
      <c r="BD48" s="838"/>
      <c r="BE48" s="838">
        <v>14702</v>
      </c>
      <c r="BF48" s="838"/>
      <c r="BG48" s="838"/>
      <c r="BH48" s="838"/>
      <c r="BI48" s="838"/>
      <c r="BJ48" s="838"/>
    </row>
    <row r="49" spans="3:62" ht="12" customHeight="1">
      <c r="C49" s="389" t="s">
        <v>727</v>
      </c>
      <c r="D49" s="389"/>
      <c r="E49" s="389"/>
      <c r="F49" s="389"/>
      <c r="G49" s="389"/>
      <c r="H49" s="389"/>
      <c r="I49" s="389"/>
      <c r="J49" s="389"/>
      <c r="K49" s="389"/>
      <c r="L49" s="389"/>
      <c r="M49" s="348"/>
      <c r="N49" s="844">
        <v>6</v>
      </c>
      <c r="O49" s="838"/>
      <c r="P49" s="838"/>
      <c r="Q49" s="838"/>
      <c r="R49" s="845"/>
      <c r="S49" s="845"/>
      <c r="T49" s="845"/>
      <c r="U49" s="823">
        <f>SUM(AA49,AG49)</f>
        <v>15</v>
      </c>
      <c r="V49" s="823"/>
      <c r="W49" s="823"/>
      <c r="X49" s="823"/>
      <c r="Y49" s="823"/>
      <c r="Z49" s="823"/>
      <c r="AA49" s="846">
        <v>8</v>
      </c>
      <c r="AB49" s="846"/>
      <c r="AC49" s="846"/>
      <c r="AD49" s="846"/>
      <c r="AE49" s="846"/>
      <c r="AF49" s="846"/>
      <c r="AG49" s="846">
        <v>7</v>
      </c>
      <c r="AH49" s="846"/>
      <c r="AI49" s="846"/>
      <c r="AJ49" s="846"/>
      <c r="AK49" s="846"/>
      <c r="AL49" s="846"/>
      <c r="AM49" s="823">
        <f>SUM(AS49,AY49)</f>
        <v>159</v>
      </c>
      <c r="AN49" s="823"/>
      <c r="AO49" s="823"/>
      <c r="AP49" s="823"/>
      <c r="AQ49" s="823"/>
      <c r="AR49" s="823"/>
      <c r="AS49" s="838">
        <v>84</v>
      </c>
      <c r="AT49" s="838"/>
      <c r="AU49" s="838"/>
      <c r="AV49" s="838"/>
      <c r="AW49" s="838"/>
      <c r="AX49" s="838"/>
      <c r="AY49" s="838">
        <v>75</v>
      </c>
      <c r="AZ49" s="838"/>
      <c r="BA49" s="838"/>
      <c r="BB49" s="838"/>
      <c r="BC49" s="838"/>
      <c r="BD49" s="838"/>
      <c r="BE49" s="838">
        <v>10818</v>
      </c>
      <c r="BF49" s="838"/>
      <c r="BG49" s="838"/>
      <c r="BH49" s="838"/>
      <c r="BI49" s="838"/>
      <c r="BJ49" s="838"/>
    </row>
    <row r="50" spans="3:62" ht="12" customHeight="1">
      <c r="C50" s="389" t="s">
        <v>772</v>
      </c>
      <c r="D50" s="389"/>
      <c r="E50" s="389"/>
      <c r="F50" s="389"/>
      <c r="G50" s="389"/>
      <c r="H50" s="389"/>
      <c r="I50" s="389"/>
      <c r="J50" s="389"/>
      <c r="K50" s="389"/>
      <c r="L50" s="389"/>
      <c r="M50" s="348"/>
      <c r="N50" s="844">
        <v>9</v>
      </c>
      <c r="O50" s="838"/>
      <c r="P50" s="838"/>
      <c r="Q50" s="838"/>
      <c r="R50" s="845"/>
      <c r="S50" s="845"/>
      <c r="T50" s="845"/>
      <c r="U50" s="823">
        <f>SUM(AA50,AG50)</f>
        <v>18</v>
      </c>
      <c r="V50" s="823"/>
      <c r="W50" s="823"/>
      <c r="X50" s="823"/>
      <c r="Y50" s="823"/>
      <c r="Z50" s="823"/>
      <c r="AA50" s="846">
        <v>12</v>
      </c>
      <c r="AB50" s="846"/>
      <c r="AC50" s="846"/>
      <c r="AD50" s="846"/>
      <c r="AE50" s="846"/>
      <c r="AF50" s="846"/>
      <c r="AG50" s="846">
        <v>6</v>
      </c>
      <c r="AH50" s="846"/>
      <c r="AI50" s="846"/>
      <c r="AJ50" s="846"/>
      <c r="AK50" s="846"/>
      <c r="AL50" s="846"/>
      <c r="AM50" s="823">
        <f>SUM(AS50,AY50)</f>
        <v>314</v>
      </c>
      <c r="AN50" s="823"/>
      <c r="AO50" s="823"/>
      <c r="AP50" s="823"/>
      <c r="AQ50" s="823"/>
      <c r="AR50" s="823"/>
      <c r="AS50" s="838">
        <v>168</v>
      </c>
      <c r="AT50" s="838"/>
      <c r="AU50" s="838"/>
      <c r="AV50" s="838"/>
      <c r="AW50" s="838"/>
      <c r="AX50" s="838"/>
      <c r="AY50" s="838">
        <v>146</v>
      </c>
      <c r="AZ50" s="838"/>
      <c r="BA50" s="838"/>
      <c r="BB50" s="838"/>
      <c r="BC50" s="838"/>
      <c r="BD50" s="838"/>
      <c r="BE50" s="838">
        <v>14999</v>
      </c>
      <c r="BF50" s="838"/>
      <c r="BG50" s="838"/>
      <c r="BH50" s="838"/>
      <c r="BI50" s="838"/>
      <c r="BJ50" s="838"/>
    </row>
    <row r="51" spans="3:62" ht="8.1" customHeight="1">
      <c r="M51" s="6"/>
      <c r="N51" s="350"/>
      <c r="O51" s="322"/>
      <c r="P51" s="322"/>
      <c r="Q51" s="322"/>
      <c r="R51" s="322"/>
      <c r="S51" s="322"/>
      <c r="T51" s="322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S51" s="322"/>
      <c r="AT51" s="322"/>
      <c r="AU51" s="322"/>
      <c r="AV51" s="322"/>
      <c r="AW51" s="322"/>
      <c r="AX51" s="322"/>
      <c r="AY51" s="322"/>
      <c r="AZ51" s="322"/>
      <c r="BA51" s="322"/>
      <c r="BB51" s="322"/>
      <c r="BC51" s="322"/>
      <c r="BD51" s="322"/>
      <c r="BE51" s="322"/>
      <c r="BF51" s="322"/>
      <c r="BG51" s="322"/>
      <c r="BH51" s="322"/>
      <c r="BI51" s="322"/>
      <c r="BJ51" s="322"/>
    </row>
    <row r="52" spans="3:62" ht="12" customHeight="1">
      <c r="C52" s="389" t="s">
        <v>771</v>
      </c>
      <c r="D52" s="389"/>
      <c r="E52" s="389"/>
      <c r="F52" s="389"/>
      <c r="G52" s="389"/>
      <c r="H52" s="389"/>
      <c r="I52" s="389"/>
      <c r="J52" s="389"/>
      <c r="K52" s="389"/>
      <c r="L52" s="389"/>
      <c r="M52" s="348"/>
      <c r="N52" s="844">
        <v>11</v>
      </c>
      <c r="O52" s="838"/>
      <c r="P52" s="838"/>
      <c r="Q52" s="838"/>
      <c r="R52" s="845"/>
      <c r="S52" s="845"/>
      <c r="T52" s="845"/>
      <c r="U52" s="823">
        <f>SUM(AA52,AG52)</f>
        <v>20</v>
      </c>
      <c r="V52" s="823"/>
      <c r="W52" s="823"/>
      <c r="X52" s="823"/>
      <c r="Y52" s="823"/>
      <c r="Z52" s="823"/>
      <c r="AA52" s="846">
        <v>10</v>
      </c>
      <c r="AB52" s="846"/>
      <c r="AC52" s="846"/>
      <c r="AD52" s="846"/>
      <c r="AE52" s="846"/>
      <c r="AF52" s="846"/>
      <c r="AG52" s="846">
        <v>10</v>
      </c>
      <c r="AH52" s="846"/>
      <c r="AI52" s="846"/>
      <c r="AJ52" s="846"/>
      <c r="AK52" s="846"/>
      <c r="AL52" s="846"/>
      <c r="AM52" s="823">
        <f>SUM(AS52,AY52)</f>
        <v>356</v>
      </c>
      <c r="AN52" s="823"/>
      <c r="AO52" s="823"/>
      <c r="AP52" s="823"/>
      <c r="AQ52" s="823"/>
      <c r="AR52" s="823"/>
      <c r="AS52" s="838">
        <v>183</v>
      </c>
      <c r="AT52" s="838"/>
      <c r="AU52" s="838"/>
      <c r="AV52" s="838"/>
      <c r="AW52" s="838"/>
      <c r="AX52" s="838"/>
      <c r="AY52" s="838">
        <v>173</v>
      </c>
      <c r="AZ52" s="838"/>
      <c r="BA52" s="838"/>
      <c r="BB52" s="838"/>
      <c r="BC52" s="838"/>
      <c r="BD52" s="838"/>
      <c r="BE52" s="838">
        <v>14957</v>
      </c>
      <c r="BF52" s="838"/>
      <c r="BG52" s="838"/>
      <c r="BH52" s="838"/>
      <c r="BI52" s="838"/>
      <c r="BJ52" s="838"/>
    </row>
    <row r="53" spans="3:62" ht="12" customHeight="1">
      <c r="C53" s="389" t="s">
        <v>770</v>
      </c>
      <c r="D53" s="389"/>
      <c r="E53" s="389"/>
      <c r="F53" s="389"/>
      <c r="G53" s="389"/>
      <c r="H53" s="389"/>
      <c r="I53" s="389"/>
      <c r="J53" s="389"/>
      <c r="K53" s="389"/>
      <c r="L53" s="389"/>
      <c r="M53" s="348"/>
      <c r="N53" s="844">
        <v>9</v>
      </c>
      <c r="O53" s="838"/>
      <c r="P53" s="838"/>
      <c r="Q53" s="838"/>
      <c r="R53" s="845">
        <v>-4</v>
      </c>
      <c r="S53" s="845"/>
      <c r="T53" s="845"/>
      <c r="U53" s="823">
        <f>SUM(AA53,AG53)</f>
        <v>24</v>
      </c>
      <c r="V53" s="823"/>
      <c r="W53" s="823"/>
      <c r="X53" s="823"/>
      <c r="Y53" s="823"/>
      <c r="Z53" s="823"/>
      <c r="AA53" s="846">
        <v>11</v>
      </c>
      <c r="AB53" s="846"/>
      <c r="AC53" s="846"/>
      <c r="AD53" s="846"/>
      <c r="AE53" s="846"/>
      <c r="AF53" s="846"/>
      <c r="AG53" s="846">
        <v>13</v>
      </c>
      <c r="AH53" s="846"/>
      <c r="AI53" s="846"/>
      <c r="AJ53" s="846"/>
      <c r="AK53" s="846"/>
      <c r="AL53" s="846"/>
      <c r="AM53" s="823">
        <f>SUM(AS53,AY53)</f>
        <v>339</v>
      </c>
      <c r="AN53" s="823"/>
      <c r="AO53" s="823"/>
      <c r="AP53" s="823"/>
      <c r="AQ53" s="823"/>
      <c r="AR53" s="823"/>
      <c r="AS53" s="838">
        <v>160</v>
      </c>
      <c r="AT53" s="838"/>
      <c r="AU53" s="838"/>
      <c r="AV53" s="838"/>
      <c r="AW53" s="838"/>
      <c r="AX53" s="838"/>
      <c r="AY53" s="838">
        <v>179</v>
      </c>
      <c r="AZ53" s="838"/>
      <c r="BA53" s="838"/>
      <c r="BB53" s="838"/>
      <c r="BC53" s="838"/>
      <c r="BD53" s="838"/>
      <c r="BE53" s="712">
        <v>17977</v>
      </c>
      <c r="BF53" s="712"/>
      <c r="BG53" s="712"/>
      <c r="BH53" s="712"/>
      <c r="BI53" s="712"/>
      <c r="BJ53" s="712"/>
    </row>
    <row r="54" spans="3:62" ht="12" customHeight="1">
      <c r="C54" s="389" t="s">
        <v>769</v>
      </c>
      <c r="D54" s="389"/>
      <c r="E54" s="389"/>
      <c r="F54" s="389"/>
      <c r="G54" s="389"/>
      <c r="H54" s="389"/>
      <c r="I54" s="389"/>
      <c r="J54" s="389"/>
      <c r="K54" s="389"/>
      <c r="L54" s="389"/>
      <c r="M54" s="348"/>
      <c r="N54" s="844">
        <v>6</v>
      </c>
      <c r="O54" s="838"/>
      <c r="P54" s="838"/>
      <c r="Q54" s="838"/>
      <c r="R54" s="845">
        <v>-1</v>
      </c>
      <c r="S54" s="845"/>
      <c r="T54" s="845"/>
      <c r="U54" s="823">
        <f>SUM(AA54,AG54)</f>
        <v>16</v>
      </c>
      <c r="V54" s="823"/>
      <c r="W54" s="823"/>
      <c r="X54" s="823"/>
      <c r="Y54" s="823"/>
      <c r="Z54" s="823"/>
      <c r="AA54" s="846">
        <v>7</v>
      </c>
      <c r="AB54" s="846"/>
      <c r="AC54" s="846"/>
      <c r="AD54" s="846"/>
      <c r="AE54" s="846"/>
      <c r="AF54" s="846"/>
      <c r="AG54" s="846">
        <v>9</v>
      </c>
      <c r="AH54" s="846"/>
      <c r="AI54" s="846"/>
      <c r="AJ54" s="846"/>
      <c r="AK54" s="846"/>
      <c r="AL54" s="846"/>
      <c r="AM54" s="823">
        <f>SUM(AS54,AY54)</f>
        <v>186</v>
      </c>
      <c r="AN54" s="823"/>
      <c r="AO54" s="823"/>
      <c r="AP54" s="823"/>
      <c r="AQ54" s="823"/>
      <c r="AR54" s="823"/>
      <c r="AS54" s="838">
        <v>99</v>
      </c>
      <c r="AT54" s="838"/>
      <c r="AU54" s="838"/>
      <c r="AV54" s="838"/>
      <c r="AW54" s="838"/>
      <c r="AX54" s="838"/>
      <c r="AY54" s="838">
        <v>87</v>
      </c>
      <c r="AZ54" s="838"/>
      <c r="BA54" s="838"/>
      <c r="BB54" s="838"/>
      <c r="BC54" s="838"/>
      <c r="BD54" s="838"/>
      <c r="BE54" s="838">
        <v>15003</v>
      </c>
      <c r="BF54" s="838"/>
      <c r="BG54" s="838"/>
      <c r="BH54" s="838"/>
      <c r="BI54" s="838"/>
      <c r="BJ54" s="838"/>
    </row>
    <row r="55" spans="3:62" ht="12" customHeight="1">
      <c r="C55" s="389" t="s">
        <v>718</v>
      </c>
      <c r="D55" s="389"/>
      <c r="E55" s="389"/>
      <c r="F55" s="389"/>
      <c r="G55" s="389"/>
      <c r="H55" s="389"/>
      <c r="I55" s="389"/>
      <c r="J55" s="389"/>
      <c r="K55" s="389"/>
      <c r="L55" s="389"/>
      <c r="M55" s="348"/>
      <c r="N55" s="844">
        <v>18</v>
      </c>
      <c r="O55" s="838"/>
      <c r="P55" s="838"/>
      <c r="Q55" s="838"/>
      <c r="R55" s="845">
        <v>-4</v>
      </c>
      <c r="S55" s="845"/>
      <c r="T55" s="845"/>
      <c r="U55" s="823">
        <f>SUM(AA55,AG55)</f>
        <v>37</v>
      </c>
      <c r="V55" s="823"/>
      <c r="W55" s="823"/>
      <c r="X55" s="823"/>
      <c r="Y55" s="823"/>
      <c r="Z55" s="823"/>
      <c r="AA55" s="846">
        <v>19</v>
      </c>
      <c r="AB55" s="846"/>
      <c r="AC55" s="846"/>
      <c r="AD55" s="846"/>
      <c r="AE55" s="846"/>
      <c r="AF55" s="846"/>
      <c r="AG55" s="846">
        <v>18</v>
      </c>
      <c r="AH55" s="846"/>
      <c r="AI55" s="846"/>
      <c r="AJ55" s="846"/>
      <c r="AK55" s="846"/>
      <c r="AL55" s="846"/>
      <c r="AM55" s="823">
        <f>SUM(AS55,AY55)</f>
        <v>672</v>
      </c>
      <c r="AN55" s="823"/>
      <c r="AO55" s="823"/>
      <c r="AP55" s="823"/>
      <c r="AQ55" s="823"/>
      <c r="AR55" s="823"/>
      <c r="AS55" s="838">
        <v>378</v>
      </c>
      <c r="AT55" s="838"/>
      <c r="AU55" s="838"/>
      <c r="AV55" s="838"/>
      <c r="AW55" s="838"/>
      <c r="AX55" s="838"/>
      <c r="AY55" s="838">
        <v>294</v>
      </c>
      <c r="AZ55" s="838"/>
      <c r="BA55" s="838"/>
      <c r="BB55" s="838"/>
      <c r="BC55" s="838"/>
      <c r="BD55" s="838"/>
      <c r="BE55" s="838">
        <v>16874</v>
      </c>
      <c r="BF55" s="838"/>
      <c r="BG55" s="838"/>
      <c r="BH55" s="838"/>
      <c r="BI55" s="838"/>
      <c r="BJ55" s="838"/>
    </row>
    <row r="56" spans="3:62" ht="12" customHeight="1">
      <c r="C56" s="389" t="s">
        <v>717</v>
      </c>
      <c r="D56" s="389"/>
      <c r="E56" s="389"/>
      <c r="F56" s="389"/>
      <c r="G56" s="389"/>
      <c r="H56" s="389"/>
      <c r="I56" s="389"/>
      <c r="J56" s="389"/>
      <c r="K56" s="389"/>
      <c r="L56" s="389"/>
      <c r="M56" s="348"/>
      <c r="N56" s="844">
        <v>14</v>
      </c>
      <c r="O56" s="838"/>
      <c r="P56" s="838"/>
      <c r="Q56" s="838"/>
      <c r="R56" s="845"/>
      <c r="S56" s="845"/>
      <c r="T56" s="845"/>
      <c r="U56" s="823">
        <f>SUM(AA56,AG56)</f>
        <v>24</v>
      </c>
      <c r="V56" s="823"/>
      <c r="W56" s="823"/>
      <c r="X56" s="823"/>
      <c r="Y56" s="823"/>
      <c r="Z56" s="823"/>
      <c r="AA56" s="846">
        <v>14</v>
      </c>
      <c r="AB56" s="846"/>
      <c r="AC56" s="846"/>
      <c r="AD56" s="846"/>
      <c r="AE56" s="846"/>
      <c r="AF56" s="846"/>
      <c r="AG56" s="846">
        <v>10</v>
      </c>
      <c r="AH56" s="846"/>
      <c r="AI56" s="846"/>
      <c r="AJ56" s="846"/>
      <c r="AK56" s="846"/>
      <c r="AL56" s="846"/>
      <c r="AM56" s="823">
        <f>SUM(AS56,AY56)</f>
        <v>492</v>
      </c>
      <c r="AN56" s="823"/>
      <c r="AO56" s="823"/>
      <c r="AP56" s="823"/>
      <c r="AQ56" s="823"/>
      <c r="AR56" s="823"/>
      <c r="AS56" s="838">
        <v>242</v>
      </c>
      <c r="AT56" s="838"/>
      <c r="AU56" s="838"/>
      <c r="AV56" s="838"/>
      <c r="AW56" s="838"/>
      <c r="AX56" s="838"/>
      <c r="AY56" s="838">
        <v>250</v>
      </c>
      <c r="AZ56" s="838"/>
      <c r="BA56" s="838"/>
      <c r="BB56" s="838"/>
      <c r="BC56" s="838"/>
      <c r="BD56" s="838"/>
      <c r="BE56" s="712">
        <v>11595</v>
      </c>
      <c r="BF56" s="712"/>
      <c r="BG56" s="712"/>
      <c r="BH56" s="712"/>
      <c r="BI56" s="712"/>
      <c r="BJ56" s="712"/>
    </row>
    <row r="57" spans="3:62" ht="8.1" customHeight="1">
      <c r="M57" s="6"/>
      <c r="N57" s="350"/>
      <c r="O57" s="322"/>
      <c r="P57" s="322"/>
      <c r="Q57" s="322"/>
      <c r="R57" s="322"/>
      <c r="S57" s="322"/>
      <c r="T57" s="322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S57" s="322"/>
      <c r="AT57" s="322"/>
      <c r="AU57" s="322"/>
      <c r="AV57" s="322"/>
      <c r="AW57" s="322"/>
      <c r="AX57" s="322"/>
      <c r="AY57" s="322"/>
      <c r="AZ57" s="322"/>
      <c r="BA57" s="322"/>
      <c r="BB57" s="322"/>
      <c r="BC57" s="322"/>
      <c r="BD57" s="322"/>
      <c r="BE57" s="322"/>
      <c r="BF57" s="322"/>
      <c r="BG57" s="322"/>
      <c r="BH57" s="322"/>
      <c r="BI57" s="322"/>
      <c r="BJ57" s="322"/>
    </row>
    <row r="58" spans="3:62" ht="12" customHeight="1">
      <c r="C58" s="389" t="s">
        <v>716</v>
      </c>
      <c r="D58" s="389"/>
      <c r="E58" s="389"/>
      <c r="F58" s="389"/>
      <c r="G58" s="389"/>
      <c r="H58" s="389"/>
      <c r="I58" s="389"/>
      <c r="J58" s="389"/>
      <c r="K58" s="389"/>
      <c r="L58" s="389"/>
      <c r="M58" s="348"/>
      <c r="N58" s="844">
        <v>17</v>
      </c>
      <c r="O58" s="838"/>
      <c r="P58" s="838"/>
      <c r="Q58" s="838"/>
      <c r="R58" s="845"/>
      <c r="S58" s="845"/>
      <c r="T58" s="845"/>
      <c r="U58" s="823">
        <f>SUM(AA58,AG58)</f>
        <v>29</v>
      </c>
      <c r="V58" s="823"/>
      <c r="W58" s="823"/>
      <c r="X58" s="823"/>
      <c r="Y58" s="823"/>
      <c r="Z58" s="823"/>
      <c r="AA58" s="846">
        <v>17</v>
      </c>
      <c r="AB58" s="846"/>
      <c r="AC58" s="846"/>
      <c r="AD58" s="846"/>
      <c r="AE58" s="846"/>
      <c r="AF58" s="846"/>
      <c r="AG58" s="846">
        <v>12</v>
      </c>
      <c r="AH58" s="846"/>
      <c r="AI58" s="846"/>
      <c r="AJ58" s="846"/>
      <c r="AK58" s="846"/>
      <c r="AL58" s="846"/>
      <c r="AM58" s="823">
        <f>SUM(AS58,AY58)</f>
        <v>619</v>
      </c>
      <c r="AN58" s="823"/>
      <c r="AO58" s="823"/>
      <c r="AP58" s="823"/>
      <c r="AQ58" s="823"/>
      <c r="AR58" s="823"/>
      <c r="AS58" s="838">
        <v>348</v>
      </c>
      <c r="AT58" s="838"/>
      <c r="AU58" s="838"/>
      <c r="AV58" s="838"/>
      <c r="AW58" s="838"/>
      <c r="AX58" s="838"/>
      <c r="AY58" s="838">
        <v>271</v>
      </c>
      <c r="AZ58" s="838"/>
      <c r="BA58" s="838"/>
      <c r="BB58" s="838"/>
      <c r="BC58" s="838"/>
      <c r="BD58" s="838"/>
      <c r="BE58" s="838">
        <v>15920</v>
      </c>
      <c r="BF58" s="838"/>
      <c r="BG58" s="838"/>
      <c r="BH58" s="838"/>
      <c r="BI58" s="838"/>
      <c r="BJ58" s="838"/>
    </row>
    <row r="59" spans="3:62" ht="12" customHeight="1">
      <c r="C59" s="389" t="s">
        <v>768</v>
      </c>
      <c r="D59" s="389"/>
      <c r="E59" s="389"/>
      <c r="F59" s="389"/>
      <c r="G59" s="389"/>
      <c r="H59" s="389"/>
      <c r="I59" s="389"/>
      <c r="J59" s="389"/>
      <c r="K59" s="389"/>
      <c r="L59" s="389"/>
      <c r="M59" s="348"/>
      <c r="N59" s="844">
        <v>12</v>
      </c>
      <c r="O59" s="838"/>
      <c r="P59" s="838"/>
      <c r="Q59" s="838"/>
      <c r="R59" s="845"/>
      <c r="S59" s="845"/>
      <c r="T59" s="845"/>
      <c r="U59" s="823">
        <f>SUM(AA59,AG59)</f>
        <v>24</v>
      </c>
      <c r="V59" s="823"/>
      <c r="W59" s="823"/>
      <c r="X59" s="823"/>
      <c r="Y59" s="823"/>
      <c r="Z59" s="823"/>
      <c r="AA59" s="846">
        <v>15</v>
      </c>
      <c r="AB59" s="846"/>
      <c r="AC59" s="846"/>
      <c r="AD59" s="846"/>
      <c r="AE59" s="846"/>
      <c r="AF59" s="846"/>
      <c r="AG59" s="846">
        <v>9</v>
      </c>
      <c r="AH59" s="846"/>
      <c r="AI59" s="846"/>
      <c r="AJ59" s="846"/>
      <c r="AK59" s="846"/>
      <c r="AL59" s="846"/>
      <c r="AM59" s="823">
        <f>SUM(AS59,AY59)</f>
        <v>418</v>
      </c>
      <c r="AN59" s="823"/>
      <c r="AO59" s="823"/>
      <c r="AP59" s="823"/>
      <c r="AQ59" s="823"/>
      <c r="AR59" s="823"/>
      <c r="AS59" s="838">
        <v>216</v>
      </c>
      <c r="AT59" s="838"/>
      <c r="AU59" s="838"/>
      <c r="AV59" s="838"/>
      <c r="AW59" s="838"/>
      <c r="AX59" s="838"/>
      <c r="AY59" s="838">
        <v>202</v>
      </c>
      <c r="AZ59" s="838"/>
      <c r="BA59" s="838"/>
      <c r="BB59" s="838"/>
      <c r="BC59" s="838"/>
      <c r="BD59" s="838"/>
      <c r="BE59" s="838">
        <v>11296</v>
      </c>
      <c r="BF59" s="838"/>
      <c r="BG59" s="838"/>
      <c r="BH59" s="838"/>
      <c r="BI59" s="838"/>
      <c r="BJ59" s="838"/>
    </row>
    <row r="60" spans="3:62" ht="12" customHeight="1">
      <c r="C60" s="389" t="s">
        <v>714</v>
      </c>
      <c r="D60" s="389"/>
      <c r="E60" s="389"/>
      <c r="F60" s="389"/>
      <c r="G60" s="389"/>
      <c r="H60" s="389"/>
      <c r="I60" s="389"/>
      <c r="J60" s="389"/>
      <c r="K60" s="389"/>
      <c r="L60" s="389"/>
      <c r="M60" s="348"/>
      <c r="N60" s="844">
        <v>11</v>
      </c>
      <c r="O60" s="838"/>
      <c r="P60" s="838"/>
      <c r="Q60" s="838"/>
      <c r="R60" s="845">
        <v>-3</v>
      </c>
      <c r="S60" s="845"/>
      <c r="T60" s="845"/>
      <c r="U60" s="823">
        <f>SUM(AA60,AG60)</f>
        <v>26</v>
      </c>
      <c r="V60" s="823"/>
      <c r="W60" s="823"/>
      <c r="X60" s="823"/>
      <c r="Y60" s="823"/>
      <c r="Z60" s="823"/>
      <c r="AA60" s="846">
        <v>14</v>
      </c>
      <c r="AB60" s="846"/>
      <c r="AC60" s="846"/>
      <c r="AD60" s="846"/>
      <c r="AE60" s="846"/>
      <c r="AF60" s="846"/>
      <c r="AG60" s="846">
        <v>12</v>
      </c>
      <c r="AH60" s="846"/>
      <c r="AI60" s="846"/>
      <c r="AJ60" s="846"/>
      <c r="AK60" s="846"/>
      <c r="AL60" s="846"/>
      <c r="AM60" s="823">
        <f>SUM(AS60,AY60)</f>
        <v>383</v>
      </c>
      <c r="AN60" s="823"/>
      <c r="AO60" s="823"/>
      <c r="AP60" s="823"/>
      <c r="AQ60" s="823"/>
      <c r="AR60" s="823"/>
      <c r="AS60" s="838">
        <v>150</v>
      </c>
      <c r="AT60" s="838"/>
      <c r="AU60" s="838"/>
      <c r="AV60" s="838"/>
      <c r="AW60" s="838"/>
      <c r="AX60" s="838"/>
      <c r="AY60" s="838">
        <v>233</v>
      </c>
      <c r="AZ60" s="838"/>
      <c r="BA60" s="838"/>
      <c r="BB60" s="838"/>
      <c r="BC60" s="838"/>
      <c r="BD60" s="838"/>
      <c r="BE60" s="712">
        <v>13559</v>
      </c>
      <c r="BF60" s="712"/>
      <c r="BG60" s="712"/>
      <c r="BH60" s="712"/>
      <c r="BI60" s="712"/>
      <c r="BJ60" s="712"/>
    </row>
    <row r="61" spans="3:62" ht="12" customHeight="1">
      <c r="C61" s="389" t="s">
        <v>767</v>
      </c>
      <c r="D61" s="389"/>
      <c r="E61" s="389"/>
      <c r="F61" s="389"/>
      <c r="G61" s="389"/>
      <c r="H61" s="389"/>
      <c r="I61" s="389"/>
      <c r="J61" s="389"/>
      <c r="K61" s="389"/>
      <c r="L61" s="389"/>
      <c r="M61" s="348"/>
      <c r="N61" s="844">
        <v>8</v>
      </c>
      <c r="O61" s="838"/>
      <c r="P61" s="838"/>
      <c r="Q61" s="838"/>
      <c r="R61" s="845">
        <v>-2</v>
      </c>
      <c r="S61" s="845"/>
      <c r="T61" s="845"/>
      <c r="U61" s="823">
        <f>SUM(AA61,AG61)</f>
        <v>21</v>
      </c>
      <c r="V61" s="823"/>
      <c r="W61" s="823"/>
      <c r="X61" s="823"/>
      <c r="Y61" s="823"/>
      <c r="Z61" s="823"/>
      <c r="AA61" s="846">
        <v>13</v>
      </c>
      <c r="AB61" s="846"/>
      <c r="AC61" s="846"/>
      <c r="AD61" s="846"/>
      <c r="AE61" s="846"/>
      <c r="AF61" s="846"/>
      <c r="AG61" s="846">
        <v>8</v>
      </c>
      <c r="AH61" s="846"/>
      <c r="AI61" s="846"/>
      <c r="AJ61" s="846"/>
      <c r="AK61" s="846"/>
      <c r="AL61" s="846"/>
      <c r="AM61" s="823">
        <f>SUM(AS61,AY61)</f>
        <v>254</v>
      </c>
      <c r="AN61" s="823"/>
      <c r="AO61" s="823"/>
      <c r="AP61" s="823"/>
      <c r="AQ61" s="823"/>
      <c r="AR61" s="823"/>
      <c r="AS61" s="838">
        <v>137</v>
      </c>
      <c r="AT61" s="838"/>
      <c r="AU61" s="838"/>
      <c r="AV61" s="838"/>
      <c r="AW61" s="838"/>
      <c r="AX61" s="838"/>
      <c r="AY61" s="838">
        <v>117</v>
      </c>
      <c r="AZ61" s="838"/>
      <c r="BA61" s="838"/>
      <c r="BB61" s="838"/>
      <c r="BC61" s="838"/>
      <c r="BD61" s="838"/>
      <c r="BE61" s="838">
        <v>18915</v>
      </c>
      <c r="BF61" s="838"/>
      <c r="BG61" s="838"/>
      <c r="BH61" s="838"/>
      <c r="BI61" s="838"/>
      <c r="BJ61" s="838"/>
    </row>
    <row r="62" spans="3:62" ht="12" customHeight="1">
      <c r="C62" s="389" t="s">
        <v>710</v>
      </c>
      <c r="D62" s="389"/>
      <c r="E62" s="389"/>
      <c r="F62" s="389"/>
      <c r="G62" s="389"/>
      <c r="H62" s="389"/>
      <c r="I62" s="389"/>
      <c r="J62" s="389"/>
      <c r="K62" s="389"/>
      <c r="L62" s="389"/>
      <c r="M62" s="348"/>
      <c r="N62" s="844">
        <v>9</v>
      </c>
      <c r="O62" s="838"/>
      <c r="P62" s="838"/>
      <c r="Q62" s="838"/>
      <c r="R62" s="845">
        <v>-2</v>
      </c>
      <c r="S62" s="845"/>
      <c r="T62" s="845"/>
      <c r="U62" s="823">
        <f>SUM(AA62,AG62)</f>
        <v>23</v>
      </c>
      <c r="V62" s="823"/>
      <c r="W62" s="823"/>
      <c r="X62" s="823"/>
      <c r="Y62" s="823"/>
      <c r="Z62" s="823"/>
      <c r="AA62" s="846">
        <v>13</v>
      </c>
      <c r="AB62" s="846"/>
      <c r="AC62" s="846"/>
      <c r="AD62" s="846"/>
      <c r="AE62" s="846"/>
      <c r="AF62" s="846"/>
      <c r="AG62" s="846">
        <v>10</v>
      </c>
      <c r="AH62" s="846"/>
      <c r="AI62" s="846"/>
      <c r="AJ62" s="846"/>
      <c r="AK62" s="846"/>
      <c r="AL62" s="846"/>
      <c r="AM62" s="823">
        <f>SUM(AS62,AY62)</f>
        <v>335</v>
      </c>
      <c r="AN62" s="823"/>
      <c r="AO62" s="823"/>
      <c r="AP62" s="823"/>
      <c r="AQ62" s="823"/>
      <c r="AR62" s="823"/>
      <c r="AS62" s="838">
        <v>181</v>
      </c>
      <c r="AT62" s="838"/>
      <c r="AU62" s="838"/>
      <c r="AV62" s="838"/>
      <c r="AW62" s="838"/>
      <c r="AX62" s="838"/>
      <c r="AY62" s="838">
        <v>154</v>
      </c>
      <c r="AZ62" s="838"/>
      <c r="BA62" s="838"/>
      <c r="BB62" s="838"/>
      <c r="BC62" s="838"/>
      <c r="BD62" s="838"/>
      <c r="BE62" s="838">
        <v>14608</v>
      </c>
      <c r="BF62" s="838"/>
      <c r="BG62" s="838"/>
      <c r="BH62" s="838"/>
      <c r="BI62" s="838"/>
      <c r="BJ62" s="838"/>
    </row>
    <row r="63" spans="3:62" ht="8.1" customHeight="1">
      <c r="M63" s="6"/>
      <c r="N63" s="350"/>
      <c r="O63" s="322"/>
      <c r="P63" s="322"/>
      <c r="Q63" s="322"/>
      <c r="R63" s="322"/>
      <c r="S63" s="322"/>
      <c r="T63" s="322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S63" s="322"/>
      <c r="AT63" s="322"/>
      <c r="AU63" s="322"/>
      <c r="AV63" s="322"/>
      <c r="AW63" s="322"/>
      <c r="AX63" s="322"/>
      <c r="AY63" s="322"/>
      <c r="AZ63" s="322"/>
      <c r="BA63" s="322"/>
      <c r="BB63" s="322"/>
      <c r="BC63" s="322"/>
      <c r="BD63" s="322"/>
      <c r="BE63" s="322"/>
      <c r="BF63" s="322"/>
      <c r="BG63" s="322"/>
      <c r="BH63" s="322"/>
      <c r="BI63" s="322"/>
      <c r="BJ63" s="322"/>
    </row>
    <row r="64" spans="3:62" ht="12" customHeight="1">
      <c r="C64" s="389" t="s">
        <v>766</v>
      </c>
      <c r="D64" s="389"/>
      <c r="E64" s="389"/>
      <c r="F64" s="389"/>
      <c r="G64" s="389"/>
      <c r="H64" s="389"/>
      <c r="I64" s="389"/>
      <c r="J64" s="389"/>
      <c r="K64" s="389"/>
      <c r="L64" s="389"/>
      <c r="M64" s="348"/>
      <c r="N64" s="844">
        <v>15</v>
      </c>
      <c r="O64" s="838"/>
      <c r="P64" s="838"/>
      <c r="Q64" s="838"/>
      <c r="R64" s="845"/>
      <c r="S64" s="845"/>
      <c r="T64" s="845"/>
      <c r="U64" s="823">
        <f>SUM(AA64,AG64)</f>
        <v>27</v>
      </c>
      <c r="V64" s="823"/>
      <c r="W64" s="823"/>
      <c r="X64" s="823"/>
      <c r="Y64" s="823"/>
      <c r="Z64" s="823"/>
      <c r="AA64" s="846">
        <v>14</v>
      </c>
      <c r="AB64" s="846"/>
      <c r="AC64" s="846"/>
      <c r="AD64" s="846"/>
      <c r="AE64" s="846"/>
      <c r="AF64" s="846"/>
      <c r="AG64" s="846">
        <v>13</v>
      </c>
      <c r="AH64" s="846"/>
      <c r="AI64" s="846"/>
      <c r="AJ64" s="846"/>
      <c r="AK64" s="846"/>
      <c r="AL64" s="846"/>
      <c r="AM64" s="823">
        <f>SUM(AS64,AY64)</f>
        <v>549</v>
      </c>
      <c r="AN64" s="823"/>
      <c r="AO64" s="823"/>
      <c r="AP64" s="823"/>
      <c r="AQ64" s="823"/>
      <c r="AR64" s="823"/>
      <c r="AS64" s="838">
        <v>313</v>
      </c>
      <c r="AT64" s="838"/>
      <c r="AU64" s="838"/>
      <c r="AV64" s="838"/>
      <c r="AW64" s="838"/>
      <c r="AX64" s="838"/>
      <c r="AY64" s="838">
        <v>236</v>
      </c>
      <c r="AZ64" s="838"/>
      <c r="BA64" s="838"/>
      <c r="BB64" s="838"/>
      <c r="BC64" s="838"/>
      <c r="BD64" s="838"/>
      <c r="BE64" s="838">
        <v>13058</v>
      </c>
      <c r="BF64" s="838"/>
      <c r="BG64" s="838"/>
      <c r="BH64" s="838"/>
      <c r="BI64" s="838"/>
      <c r="BJ64" s="838"/>
    </row>
    <row r="65" spans="2:62" ht="12" customHeight="1">
      <c r="C65" s="389" t="s">
        <v>705</v>
      </c>
      <c r="D65" s="389"/>
      <c r="E65" s="389"/>
      <c r="F65" s="389"/>
      <c r="G65" s="389"/>
      <c r="H65" s="389"/>
      <c r="I65" s="389"/>
      <c r="J65" s="389"/>
      <c r="K65" s="389"/>
      <c r="L65" s="389"/>
      <c r="M65" s="348"/>
      <c r="N65" s="844">
        <v>19</v>
      </c>
      <c r="O65" s="838"/>
      <c r="P65" s="838"/>
      <c r="Q65" s="838"/>
      <c r="R65" s="845">
        <v>-5</v>
      </c>
      <c r="S65" s="845"/>
      <c r="T65" s="845"/>
      <c r="U65" s="823">
        <f>SUM(AA65,AG65)</f>
        <v>41</v>
      </c>
      <c r="V65" s="823"/>
      <c r="W65" s="823"/>
      <c r="X65" s="823"/>
      <c r="Y65" s="823"/>
      <c r="Z65" s="823"/>
      <c r="AA65" s="846">
        <v>23</v>
      </c>
      <c r="AB65" s="846"/>
      <c r="AC65" s="846"/>
      <c r="AD65" s="846"/>
      <c r="AE65" s="846"/>
      <c r="AF65" s="846"/>
      <c r="AG65" s="846">
        <v>18</v>
      </c>
      <c r="AH65" s="846"/>
      <c r="AI65" s="846"/>
      <c r="AJ65" s="846"/>
      <c r="AK65" s="846"/>
      <c r="AL65" s="846"/>
      <c r="AM65" s="823">
        <f>SUM(AS65,AY65)</f>
        <v>728</v>
      </c>
      <c r="AN65" s="823"/>
      <c r="AO65" s="823"/>
      <c r="AP65" s="823"/>
      <c r="AQ65" s="823"/>
      <c r="AR65" s="823"/>
      <c r="AS65" s="838">
        <v>368</v>
      </c>
      <c r="AT65" s="838"/>
      <c r="AU65" s="838"/>
      <c r="AV65" s="838"/>
      <c r="AW65" s="838"/>
      <c r="AX65" s="838"/>
      <c r="AY65" s="838">
        <v>360</v>
      </c>
      <c r="AZ65" s="838"/>
      <c r="BA65" s="838"/>
      <c r="BB65" s="838"/>
      <c r="BC65" s="838"/>
      <c r="BD65" s="838"/>
      <c r="BE65" s="838">
        <v>16732</v>
      </c>
      <c r="BF65" s="838"/>
      <c r="BG65" s="838"/>
      <c r="BH65" s="838"/>
      <c r="BI65" s="838"/>
      <c r="BJ65" s="838"/>
    </row>
    <row r="66" spans="2:62" ht="12" customHeight="1">
      <c r="C66" s="389" t="s">
        <v>703</v>
      </c>
      <c r="D66" s="389"/>
      <c r="E66" s="389"/>
      <c r="F66" s="389"/>
      <c r="G66" s="389"/>
      <c r="H66" s="389"/>
      <c r="I66" s="389"/>
      <c r="J66" s="389"/>
      <c r="K66" s="389"/>
      <c r="L66" s="389"/>
      <c r="M66" s="348"/>
      <c r="N66" s="844">
        <v>18</v>
      </c>
      <c r="O66" s="838"/>
      <c r="P66" s="838"/>
      <c r="Q66" s="838"/>
      <c r="R66" s="845"/>
      <c r="S66" s="845"/>
      <c r="T66" s="845"/>
      <c r="U66" s="823">
        <f>SUM(AA66,AG66)</f>
        <v>29</v>
      </c>
      <c r="V66" s="823"/>
      <c r="W66" s="823"/>
      <c r="X66" s="823"/>
      <c r="Y66" s="823"/>
      <c r="Z66" s="823"/>
      <c r="AA66" s="846">
        <v>16</v>
      </c>
      <c r="AB66" s="846"/>
      <c r="AC66" s="846"/>
      <c r="AD66" s="846"/>
      <c r="AE66" s="846"/>
      <c r="AF66" s="846"/>
      <c r="AG66" s="846">
        <v>13</v>
      </c>
      <c r="AH66" s="846"/>
      <c r="AI66" s="846"/>
      <c r="AJ66" s="846"/>
      <c r="AK66" s="846"/>
      <c r="AL66" s="846"/>
      <c r="AM66" s="823">
        <f>SUM(AS66,AY66)</f>
        <v>639</v>
      </c>
      <c r="AN66" s="823"/>
      <c r="AO66" s="823"/>
      <c r="AP66" s="823"/>
      <c r="AQ66" s="823"/>
      <c r="AR66" s="823"/>
      <c r="AS66" s="838">
        <v>332</v>
      </c>
      <c r="AT66" s="838"/>
      <c r="AU66" s="838"/>
      <c r="AV66" s="838"/>
      <c r="AW66" s="838"/>
      <c r="AX66" s="838"/>
      <c r="AY66" s="838">
        <v>307</v>
      </c>
      <c r="AZ66" s="838"/>
      <c r="BA66" s="838"/>
      <c r="BB66" s="838"/>
      <c r="BC66" s="838"/>
      <c r="BD66" s="838"/>
      <c r="BE66" s="838">
        <v>18919</v>
      </c>
      <c r="BF66" s="838"/>
      <c r="BG66" s="838"/>
      <c r="BH66" s="838"/>
      <c r="BI66" s="838"/>
      <c r="BJ66" s="838"/>
    </row>
    <row r="67" spans="2:62" ht="12" customHeight="1">
      <c r="C67" s="389" t="s">
        <v>698</v>
      </c>
      <c r="D67" s="389"/>
      <c r="E67" s="389"/>
      <c r="F67" s="389"/>
      <c r="G67" s="389"/>
      <c r="H67" s="389"/>
      <c r="I67" s="389"/>
      <c r="J67" s="389"/>
      <c r="K67" s="389"/>
      <c r="L67" s="389"/>
      <c r="M67" s="348"/>
      <c r="N67" s="844">
        <v>14</v>
      </c>
      <c r="O67" s="838"/>
      <c r="P67" s="838"/>
      <c r="Q67" s="838"/>
      <c r="R67" s="845"/>
      <c r="S67" s="845"/>
      <c r="T67" s="845"/>
      <c r="U67" s="823">
        <f>SUM(AA67,AG67)</f>
        <v>26</v>
      </c>
      <c r="V67" s="823"/>
      <c r="W67" s="823"/>
      <c r="X67" s="823"/>
      <c r="Y67" s="823"/>
      <c r="Z67" s="823"/>
      <c r="AA67" s="846">
        <v>10</v>
      </c>
      <c r="AB67" s="846"/>
      <c r="AC67" s="846"/>
      <c r="AD67" s="846"/>
      <c r="AE67" s="846"/>
      <c r="AF67" s="846"/>
      <c r="AG67" s="846">
        <v>16</v>
      </c>
      <c r="AH67" s="846"/>
      <c r="AI67" s="846"/>
      <c r="AJ67" s="846"/>
      <c r="AK67" s="846"/>
      <c r="AL67" s="846"/>
      <c r="AM67" s="823">
        <f>SUM(AS67,AY67)</f>
        <v>524</v>
      </c>
      <c r="AN67" s="823"/>
      <c r="AO67" s="823"/>
      <c r="AP67" s="823"/>
      <c r="AQ67" s="823"/>
      <c r="AR67" s="823"/>
      <c r="AS67" s="838">
        <v>251</v>
      </c>
      <c r="AT67" s="838"/>
      <c r="AU67" s="838"/>
      <c r="AV67" s="838"/>
      <c r="AW67" s="838"/>
      <c r="AX67" s="838"/>
      <c r="AY67" s="838">
        <v>273</v>
      </c>
      <c r="AZ67" s="838"/>
      <c r="BA67" s="838"/>
      <c r="BB67" s="838"/>
      <c r="BC67" s="838"/>
      <c r="BD67" s="838"/>
      <c r="BE67" s="838">
        <v>12829</v>
      </c>
      <c r="BF67" s="838"/>
      <c r="BG67" s="838"/>
      <c r="BH67" s="838"/>
      <c r="BI67" s="838"/>
      <c r="BJ67" s="838"/>
    </row>
    <row r="68" spans="2:62" ht="12" customHeight="1">
      <c r="C68" s="389" t="s">
        <v>765</v>
      </c>
      <c r="D68" s="389"/>
      <c r="E68" s="389"/>
      <c r="F68" s="389"/>
      <c r="G68" s="389"/>
      <c r="H68" s="389"/>
      <c r="I68" s="389"/>
      <c r="J68" s="389"/>
      <c r="K68" s="389"/>
      <c r="L68" s="389"/>
      <c r="M68" s="348"/>
      <c r="N68" s="844">
        <v>14</v>
      </c>
      <c r="O68" s="838"/>
      <c r="P68" s="838"/>
      <c r="Q68" s="838"/>
      <c r="R68" s="845"/>
      <c r="S68" s="845"/>
      <c r="T68" s="845"/>
      <c r="U68" s="823">
        <f>SUM(AA68,AG68)</f>
        <v>24</v>
      </c>
      <c r="V68" s="823"/>
      <c r="W68" s="823"/>
      <c r="X68" s="823"/>
      <c r="Y68" s="823"/>
      <c r="Z68" s="823"/>
      <c r="AA68" s="846">
        <v>14</v>
      </c>
      <c r="AB68" s="846"/>
      <c r="AC68" s="846"/>
      <c r="AD68" s="846"/>
      <c r="AE68" s="846"/>
      <c r="AF68" s="846"/>
      <c r="AG68" s="846">
        <v>10</v>
      </c>
      <c r="AH68" s="846"/>
      <c r="AI68" s="846"/>
      <c r="AJ68" s="846"/>
      <c r="AK68" s="846"/>
      <c r="AL68" s="846"/>
      <c r="AM68" s="823">
        <f>SUM(AS68,AY68)</f>
        <v>500</v>
      </c>
      <c r="AN68" s="823"/>
      <c r="AO68" s="823"/>
      <c r="AP68" s="823"/>
      <c r="AQ68" s="823"/>
      <c r="AR68" s="823"/>
      <c r="AS68" s="838">
        <v>274</v>
      </c>
      <c r="AT68" s="838"/>
      <c r="AU68" s="838"/>
      <c r="AV68" s="838"/>
      <c r="AW68" s="838"/>
      <c r="AX68" s="838"/>
      <c r="AY68" s="838">
        <v>226</v>
      </c>
      <c r="AZ68" s="838"/>
      <c r="BA68" s="838"/>
      <c r="BB68" s="838"/>
      <c r="BC68" s="838"/>
      <c r="BD68" s="838"/>
      <c r="BE68" s="838">
        <v>14598</v>
      </c>
      <c r="BF68" s="838"/>
      <c r="BG68" s="838"/>
      <c r="BH68" s="838"/>
      <c r="BI68" s="838"/>
      <c r="BJ68" s="838"/>
    </row>
    <row r="69" spans="2:62" ht="8.1" customHeight="1">
      <c r="M69" s="6"/>
      <c r="N69" s="350"/>
      <c r="O69" s="322"/>
      <c r="P69" s="322"/>
      <c r="Q69" s="322"/>
      <c r="R69" s="322"/>
      <c r="S69" s="322"/>
      <c r="T69" s="322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S69" s="322"/>
      <c r="AT69" s="322"/>
      <c r="AU69" s="322"/>
      <c r="AV69" s="322"/>
      <c r="AW69" s="322"/>
      <c r="AX69" s="322"/>
      <c r="AY69" s="322"/>
      <c r="AZ69" s="322"/>
      <c r="BA69" s="322"/>
      <c r="BB69" s="322"/>
      <c r="BC69" s="322"/>
      <c r="BD69" s="322"/>
      <c r="BE69" s="322"/>
      <c r="BF69" s="322"/>
      <c r="BG69" s="322"/>
      <c r="BH69" s="322"/>
      <c r="BI69" s="322"/>
      <c r="BJ69" s="322"/>
    </row>
    <row r="70" spans="2:62" ht="12" customHeight="1">
      <c r="C70" s="389" t="s">
        <v>764</v>
      </c>
      <c r="D70" s="389"/>
      <c r="E70" s="389"/>
      <c r="F70" s="389"/>
      <c r="G70" s="389"/>
      <c r="H70" s="389"/>
      <c r="I70" s="389"/>
      <c r="J70" s="389"/>
      <c r="K70" s="389"/>
      <c r="L70" s="389"/>
      <c r="M70" s="348"/>
      <c r="N70" s="844">
        <v>14</v>
      </c>
      <c r="O70" s="838"/>
      <c r="P70" s="838"/>
      <c r="Q70" s="838"/>
      <c r="R70" s="845"/>
      <c r="S70" s="845"/>
      <c r="T70" s="845"/>
      <c r="U70" s="823">
        <f>SUM(AA70,AG70)</f>
        <v>24</v>
      </c>
      <c r="V70" s="823"/>
      <c r="W70" s="823"/>
      <c r="X70" s="823"/>
      <c r="Y70" s="823"/>
      <c r="Z70" s="823"/>
      <c r="AA70" s="846">
        <v>14</v>
      </c>
      <c r="AB70" s="846"/>
      <c r="AC70" s="846"/>
      <c r="AD70" s="846"/>
      <c r="AE70" s="846"/>
      <c r="AF70" s="846"/>
      <c r="AG70" s="846">
        <v>10</v>
      </c>
      <c r="AH70" s="846"/>
      <c r="AI70" s="846"/>
      <c r="AJ70" s="846"/>
      <c r="AK70" s="846"/>
      <c r="AL70" s="846"/>
      <c r="AM70" s="823">
        <f>SUM(AS70,AY70)</f>
        <v>527</v>
      </c>
      <c r="AN70" s="823"/>
      <c r="AO70" s="823"/>
      <c r="AP70" s="823"/>
      <c r="AQ70" s="823"/>
      <c r="AR70" s="823"/>
      <c r="AS70" s="838">
        <v>272</v>
      </c>
      <c r="AT70" s="838"/>
      <c r="AU70" s="838"/>
      <c r="AV70" s="838"/>
      <c r="AW70" s="838"/>
      <c r="AX70" s="838"/>
      <c r="AY70" s="838">
        <v>255</v>
      </c>
      <c r="AZ70" s="838"/>
      <c r="BA70" s="838"/>
      <c r="BB70" s="838"/>
      <c r="BC70" s="838"/>
      <c r="BD70" s="838"/>
      <c r="BE70" s="838">
        <v>14439</v>
      </c>
      <c r="BF70" s="838"/>
      <c r="BG70" s="838"/>
      <c r="BH70" s="838"/>
      <c r="BI70" s="838"/>
      <c r="BJ70" s="838"/>
    </row>
    <row r="71" spans="2:62" ht="12" customHeight="1">
      <c r="C71" s="389" t="s">
        <v>763</v>
      </c>
      <c r="D71" s="389"/>
      <c r="E71" s="389"/>
      <c r="F71" s="389"/>
      <c r="G71" s="389"/>
      <c r="H71" s="389"/>
      <c r="I71" s="389"/>
      <c r="J71" s="389"/>
      <c r="K71" s="389"/>
      <c r="L71" s="389"/>
      <c r="M71" s="348"/>
      <c r="N71" s="844">
        <v>7</v>
      </c>
      <c r="O71" s="838"/>
      <c r="P71" s="838"/>
      <c r="Q71" s="838"/>
      <c r="R71" s="845"/>
      <c r="S71" s="845"/>
      <c r="T71" s="845"/>
      <c r="U71" s="823">
        <f>SUM(AA71,AG71)</f>
        <v>17</v>
      </c>
      <c r="V71" s="823"/>
      <c r="W71" s="823"/>
      <c r="X71" s="823"/>
      <c r="Y71" s="823"/>
      <c r="Z71" s="823"/>
      <c r="AA71" s="846">
        <v>8</v>
      </c>
      <c r="AB71" s="846"/>
      <c r="AC71" s="846"/>
      <c r="AD71" s="846"/>
      <c r="AE71" s="846"/>
      <c r="AF71" s="846"/>
      <c r="AG71" s="846">
        <v>9</v>
      </c>
      <c r="AH71" s="846"/>
      <c r="AI71" s="846"/>
      <c r="AJ71" s="846"/>
      <c r="AK71" s="846"/>
      <c r="AL71" s="846"/>
      <c r="AM71" s="823">
        <f>SUM(AS71,AY71)</f>
        <v>231</v>
      </c>
      <c r="AN71" s="823"/>
      <c r="AO71" s="823"/>
      <c r="AP71" s="823"/>
      <c r="AQ71" s="823"/>
      <c r="AR71" s="823"/>
      <c r="AS71" s="838">
        <v>124</v>
      </c>
      <c r="AT71" s="838"/>
      <c r="AU71" s="838"/>
      <c r="AV71" s="838"/>
      <c r="AW71" s="838"/>
      <c r="AX71" s="838"/>
      <c r="AY71" s="838">
        <v>107</v>
      </c>
      <c r="AZ71" s="838"/>
      <c r="BA71" s="838"/>
      <c r="BB71" s="838"/>
      <c r="BC71" s="838"/>
      <c r="BD71" s="838"/>
      <c r="BE71" s="838">
        <v>15958</v>
      </c>
      <c r="BF71" s="838"/>
      <c r="BG71" s="838"/>
      <c r="BH71" s="838"/>
      <c r="BI71" s="838"/>
      <c r="BJ71" s="838"/>
    </row>
    <row r="72" spans="2:62" ht="12" customHeight="1">
      <c r="C72" s="389" t="s">
        <v>762</v>
      </c>
      <c r="D72" s="389"/>
      <c r="E72" s="389"/>
      <c r="F72" s="389"/>
      <c r="G72" s="389"/>
      <c r="H72" s="389"/>
      <c r="I72" s="389"/>
      <c r="J72" s="389"/>
      <c r="K72" s="389"/>
      <c r="L72" s="389"/>
      <c r="M72" s="348"/>
      <c r="N72" s="844">
        <v>15</v>
      </c>
      <c r="O72" s="838"/>
      <c r="P72" s="838"/>
      <c r="Q72" s="838"/>
      <c r="R72" s="845"/>
      <c r="S72" s="845"/>
      <c r="T72" s="845"/>
      <c r="U72" s="823">
        <f>SUM(AA72,AG72)</f>
        <v>28</v>
      </c>
      <c r="V72" s="823"/>
      <c r="W72" s="823"/>
      <c r="X72" s="823"/>
      <c r="Y72" s="823"/>
      <c r="Z72" s="823"/>
      <c r="AA72" s="846">
        <v>15</v>
      </c>
      <c r="AB72" s="846"/>
      <c r="AC72" s="846"/>
      <c r="AD72" s="846"/>
      <c r="AE72" s="846"/>
      <c r="AF72" s="846"/>
      <c r="AG72" s="846">
        <v>13</v>
      </c>
      <c r="AH72" s="846"/>
      <c r="AI72" s="846"/>
      <c r="AJ72" s="846"/>
      <c r="AK72" s="846"/>
      <c r="AL72" s="846"/>
      <c r="AM72" s="823">
        <f>SUM(AS72,AY72)</f>
        <v>552</v>
      </c>
      <c r="AN72" s="823"/>
      <c r="AO72" s="823"/>
      <c r="AP72" s="823"/>
      <c r="AQ72" s="823"/>
      <c r="AR72" s="823"/>
      <c r="AS72" s="838">
        <v>295</v>
      </c>
      <c r="AT72" s="838"/>
      <c r="AU72" s="838"/>
      <c r="AV72" s="838"/>
      <c r="AW72" s="838"/>
      <c r="AX72" s="838"/>
      <c r="AY72" s="838">
        <v>257</v>
      </c>
      <c r="AZ72" s="838"/>
      <c r="BA72" s="838"/>
      <c r="BB72" s="838"/>
      <c r="BC72" s="838"/>
      <c r="BD72" s="838"/>
      <c r="BE72" s="838">
        <v>12686</v>
      </c>
      <c r="BF72" s="838"/>
      <c r="BG72" s="838"/>
      <c r="BH72" s="838"/>
      <c r="BI72" s="838"/>
      <c r="BJ72" s="838"/>
    </row>
    <row r="73" spans="2:62" ht="12" customHeight="1">
      <c r="C73" s="389" t="s">
        <v>761</v>
      </c>
      <c r="D73" s="389"/>
      <c r="E73" s="389"/>
      <c r="F73" s="389"/>
      <c r="G73" s="389"/>
      <c r="H73" s="389"/>
      <c r="I73" s="389"/>
      <c r="J73" s="389"/>
      <c r="K73" s="389"/>
      <c r="L73" s="389"/>
      <c r="M73" s="348"/>
      <c r="N73" s="844">
        <v>9</v>
      </c>
      <c r="O73" s="838"/>
      <c r="P73" s="838"/>
      <c r="Q73" s="838"/>
      <c r="R73" s="845">
        <v>-3</v>
      </c>
      <c r="S73" s="845"/>
      <c r="T73" s="845"/>
      <c r="U73" s="823">
        <f>SUM(AA73,AG73)</f>
        <v>23</v>
      </c>
      <c r="V73" s="823"/>
      <c r="W73" s="823"/>
      <c r="X73" s="823"/>
      <c r="Y73" s="823"/>
      <c r="Z73" s="823"/>
      <c r="AA73" s="846">
        <v>14</v>
      </c>
      <c r="AB73" s="846"/>
      <c r="AC73" s="846"/>
      <c r="AD73" s="846"/>
      <c r="AE73" s="846"/>
      <c r="AF73" s="846"/>
      <c r="AG73" s="846">
        <v>9</v>
      </c>
      <c r="AH73" s="846"/>
      <c r="AI73" s="846"/>
      <c r="AJ73" s="846"/>
      <c r="AK73" s="846"/>
      <c r="AL73" s="846"/>
      <c r="AM73" s="823">
        <f>SUM(AS73,AY73)</f>
        <v>297</v>
      </c>
      <c r="AN73" s="823"/>
      <c r="AO73" s="823"/>
      <c r="AP73" s="823"/>
      <c r="AQ73" s="823"/>
      <c r="AR73" s="823"/>
      <c r="AS73" s="838">
        <v>153</v>
      </c>
      <c r="AT73" s="838"/>
      <c r="AU73" s="838"/>
      <c r="AV73" s="838"/>
      <c r="AW73" s="838"/>
      <c r="AX73" s="838"/>
      <c r="AY73" s="838">
        <v>144</v>
      </c>
      <c r="AZ73" s="838"/>
      <c r="BA73" s="838"/>
      <c r="BB73" s="838"/>
      <c r="BC73" s="838"/>
      <c r="BD73" s="838"/>
      <c r="BE73" s="838">
        <v>17179</v>
      </c>
      <c r="BF73" s="838"/>
      <c r="BG73" s="838"/>
      <c r="BH73" s="838"/>
      <c r="BI73" s="838"/>
      <c r="BJ73" s="838"/>
    </row>
    <row r="74" spans="2:62" ht="8.1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</row>
    <row r="75" spans="2:62" ht="12" customHeight="1">
      <c r="C75" s="400" t="s">
        <v>8</v>
      </c>
      <c r="D75" s="400"/>
      <c r="E75" s="297" t="s">
        <v>10</v>
      </c>
      <c r="F75" s="377">
        <v>-1</v>
      </c>
      <c r="G75" s="377"/>
      <c r="H75" s="4" t="s">
        <v>760</v>
      </c>
    </row>
    <row r="76" spans="2:62" ht="12" customHeight="1">
      <c r="F76" s="378">
        <v>-2</v>
      </c>
      <c r="G76" s="378"/>
      <c r="H76" s="5" t="s">
        <v>759</v>
      </c>
    </row>
    <row r="77" spans="2:62" ht="12" customHeight="1">
      <c r="B77" s="404" t="s">
        <v>9</v>
      </c>
      <c r="C77" s="404"/>
      <c r="D77" s="404"/>
      <c r="E77" s="297" t="s">
        <v>10</v>
      </c>
      <c r="F77" s="2" t="s">
        <v>758</v>
      </c>
    </row>
  </sheetData>
  <mergeCells count="486">
    <mergeCell ref="C75:D75"/>
    <mergeCell ref="F75:G75"/>
    <mergeCell ref="C72:L72"/>
    <mergeCell ref="N72:Q72"/>
    <mergeCell ref="R72:T72"/>
    <mergeCell ref="B77:D77"/>
    <mergeCell ref="BE72:BJ72"/>
    <mergeCell ref="C73:L73"/>
    <mergeCell ref="N73:Q73"/>
    <mergeCell ref="R73:T73"/>
    <mergeCell ref="U73:Z73"/>
    <mergeCell ref="AA73:AF73"/>
    <mergeCell ref="AY73:BD73"/>
    <mergeCell ref="F76:G76"/>
    <mergeCell ref="U72:Z72"/>
    <mergeCell ref="AM73:AR73"/>
    <mergeCell ref="AS73:AX73"/>
    <mergeCell ref="BE70:BJ70"/>
    <mergeCell ref="AM71:AR71"/>
    <mergeCell ref="AS71:AX71"/>
    <mergeCell ref="AY71:BD71"/>
    <mergeCell ref="AM70:AR70"/>
    <mergeCell ref="BE71:BJ71"/>
    <mergeCell ref="AM72:AR72"/>
    <mergeCell ref="AS72:AX72"/>
    <mergeCell ref="AY72:BD72"/>
    <mergeCell ref="BE73:BJ73"/>
    <mergeCell ref="C71:L71"/>
    <mergeCell ref="N71:Q71"/>
    <mergeCell ref="R71:T71"/>
    <mergeCell ref="U71:Z71"/>
    <mergeCell ref="AA71:AF71"/>
    <mergeCell ref="AG71:AL71"/>
    <mergeCell ref="AA72:AF72"/>
    <mergeCell ref="AG72:AL72"/>
    <mergeCell ref="AG73:AL73"/>
    <mergeCell ref="AS70:AX70"/>
    <mergeCell ref="AY70:BD70"/>
    <mergeCell ref="BE67:BJ67"/>
    <mergeCell ref="C68:L68"/>
    <mergeCell ref="N68:Q68"/>
    <mergeCell ref="R68:T68"/>
    <mergeCell ref="U68:Z68"/>
    <mergeCell ref="AA68:AF68"/>
    <mergeCell ref="AG68:AL68"/>
    <mergeCell ref="AM68:AR68"/>
    <mergeCell ref="C70:L70"/>
    <mergeCell ref="N70:Q70"/>
    <mergeCell ref="R70:T70"/>
    <mergeCell ref="U70:Z70"/>
    <mergeCell ref="AA70:AF70"/>
    <mergeCell ref="AG70:AL70"/>
    <mergeCell ref="AS68:AX68"/>
    <mergeCell ref="AY68:BD68"/>
    <mergeCell ref="BE68:BJ68"/>
    <mergeCell ref="C67:L67"/>
    <mergeCell ref="N67:Q67"/>
    <mergeCell ref="R67:T67"/>
    <mergeCell ref="U67:Z67"/>
    <mergeCell ref="AA67:AF67"/>
    <mergeCell ref="AG67:AL67"/>
    <mergeCell ref="AM67:AR67"/>
    <mergeCell ref="AS67:AX67"/>
    <mergeCell ref="AY67:BD67"/>
    <mergeCell ref="BE65:BJ65"/>
    <mergeCell ref="C66:L66"/>
    <mergeCell ref="N66:Q66"/>
    <mergeCell ref="R66:T66"/>
    <mergeCell ref="U66:Z66"/>
    <mergeCell ref="AA66:AF66"/>
    <mergeCell ref="AG66:AL66"/>
    <mergeCell ref="AM66:AR66"/>
    <mergeCell ref="AS66:AX66"/>
    <mergeCell ref="AY66:BD66"/>
    <mergeCell ref="BE66:BJ66"/>
    <mergeCell ref="C65:L65"/>
    <mergeCell ref="N65:Q65"/>
    <mergeCell ref="R65:T65"/>
    <mergeCell ref="U65:Z65"/>
    <mergeCell ref="AA65:AF65"/>
    <mergeCell ref="AG65:AL65"/>
    <mergeCell ref="AM65:AR65"/>
    <mergeCell ref="AS65:AX65"/>
    <mergeCell ref="AY65:BD65"/>
    <mergeCell ref="BE62:BJ62"/>
    <mergeCell ref="C64:L64"/>
    <mergeCell ref="N64:Q64"/>
    <mergeCell ref="R64:T64"/>
    <mergeCell ref="U64:Z64"/>
    <mergeCell ref="AA64:AF64"/>
    <mergeCell ref="AG64:AL64"/>
    <mergeCell ref="AM64:AR64"/>
    <mergeCell ref="AS64:AX64"/>
    <mergeCell ref="AY64:BD64"/>
    <mergeCell ref="BE64:BJ64"/>
    <mergeCell ref="C62:L62"/>
    <mergeCell ref="N62:Q62"/>
    <mergeCell ref="R62:T62"/>
    <mergeCell ref="U62:Z62"/>
    <mergeCell ref="AA62:AF62"/>
    <mergeCell ref="AG62:AL62"/>
    <mergeCell ref="AM62:AR62"/>
    <mergeCell ref="AS62:AX62"/>
    <mergeCell ref="AY62:BD62"/>
    <mergeCell ref="BE60:BJ60"/>
    <mergeCell ref="C61:L61"/>
    <mergeCell ref="N61:Q61"/>
    <mergeCell ref="R61:T61"/>
    <mergeCell ref="U61:Z61"/>
    <mergeCell ref="AA61:AF61"/>
    <mergeCell ref="AG61:AL61"/>
    <mergeCell ref="AM61:AR61"/>
    <mergeCell ref="AS61:AX61"/>
    <mergeCell ref="AY61:BD61"/>
    <mergeCell ref="BE61:BJ61"/>
    <mergeCell ref="C60:L60"/>
    <mergeCell ref="N60:Q60"/>
    <mergeCell ref="R60:T60"/>
    <mergeCell ref="U60:Z60"/>
    <mergeCell ref="AA60:AF60"/>
    <mergeCell ref="AG60:AL60"/>
    <mergeCell ref="AM60:AR60"/>
    <mergeCell ref="AS60:AX60"/>
    <mergeCell ref="AY60:BD60"/>
    <mergeCell ref="BE58:BJ58"/>
    <mergeCell ref="C59:L59"/>
    <mergeCell ref="N59:Q59"/>
    <mergeCell ref="R59:T59"/>
    <mergeCell ref="U59:Z59"/>
    <mergeCell ref="AA59:AF59"/>
    <mergeCell ref="AG59:AL59"/>
    <mergeCell ref="AM59:AR59"/>
    <mergeCell ref="AS59:AX59"/>
    <mergeCell ref="AY59:BD59"/>
    <mergeCell ref="BE59:BJ59"/>
    <mergeCell ref="C58:L58"/>
    <mergeCell ref="N58:Q58"/>
    <mergeCell ref="R58:T58"/>
    <mergeCell ref="U58:Z58"/>
    <mergeCell ref="AA58:AF58"/>
    <mergeCell ref="AG58:AL58"/>
    <mergeCell ref="AM58:AR58"/>
    <mergeCell ref="AS58:AX58"/>
    <mergeCell ref="AY58:BD58"/>
    <mergeCell ref="BE55:BJ55"/>
    <mergeCell ref="C56:L56"/>
    <mergeCell ref="N56:Q56"/>
    <mergeCell ref="R56:T56"/>
    <mergeCell ref="U56:Z56"/>
    <mergeCell ref="AA56:AF56"/>
    <mergeCell ref="AG56:AL56"/>
    <mergeCell ref="AM56:AR56"/>
    <mergeCell ref="AS56:AX56"/>
    <mergeCell ref="AY56:BD56"/>
    <mergeCell ref="BE56:BJ56"/>
    <mergeCell ref="C55:L55"/>
    <mergeCell ref="N55:Q55"/>
    <mergeCell ref="R55:T55"/>
    <mergeCell ref="U55:Z55"/>
    <mergeCell ref="AA55:AF55"/>
    <mergeCell ref="AG55:AL55"/>
    <mergeCell ref="AM55:AR55"/>
    <mergeCell ref="AS55:AX55"/>
    <mergeCell ref="AY55:BD55"/>
    <mergeCell ref="BE53:BJ53"/>
    <mergeCell ref="C54:L54"/>
    <mergeCell ref="N54:Q54"/>
    <mergeCell ref="R54:T54"/>
    <mergeCell ref="U54:Z54"/>
    <mergeCell ref="AA54:AF54"/>
    <mergeCell ref="AG54:AL54"/>
    <mergeCell ref="AM54:AR54"/>
    <mergeCell ref="AS54:AX54"/>
    <mergeCell ref="AY54:BD54"/>
    <mergeCell ref="BE54:BJ54"/>
    <mergeCell ref="C53:L53"/>
    <mergeCell ref="N53:Q53"/>
    <mergeCell ref="R53:T53"/>
    <mergeCell ref="U53:Z53"/>
    <mergeCell ref="AA53:AF53"/>
    <mergeCell ref="AG53:AL53"/>
    <mergeCell ref="AM53:AR53"/>
    <mergeCell ref="AS53:AX53"/>
    <mergeCell ref="AY53:BD53"/>
    <mergeCell ref="BE50:BJ50"/>
    <mergeCell ref="C52:L52"/>
    <mergeCell ref="N52:Q52"/>
    <mergeCell ref="R52:T52"/>
    <mergeCell ref="U52:Z52"/>
    <mergeCell ref="AA52:AF52"/>
    <mergeCell ref="AG52:AL52"/>
    <mergeCell ref="AM52:AR52"/>
    <mergeCell ref="AS52:AX52"/>
    <mergeCell ref="AY52:BD52"/>
    <mergeCell ref="BE52:BJ52"/>
    <mergeCell ref="C50:L50"/>
    <mergeCell ref="N50:Q50"/>
    <mergeCell ref="R50:T50"/>
    <mergeCell ref="U50:Z50"/>
    <mergeCell ref="AA50:AF50"/>
    <mergeCell ref="AG50:AL50"/>
    <mergeCell ref="AM50:AR50"/>
    <mergeCell ref="AS50:AX50"/>
    <mergeCell ref="AY50:BD50"/>
    <mergeCell ref="BE48:BJ48"/>
    <mergeCell ref="C49:L49"/>
    <mergeCell ref="N49:Q49"/>
    <mergeCell ref="R49:T49"/>
    <mergeCell ref="U49:Z49"/>
    <mergeCell ref="AA49:AF49"/>
    <mergeCell ref="AG49:AL49"/>
    <mergeCell ref="AM49:AR49"/>
    <mergeCell ref="AS49:AX49"/>
    <mergeCell ref="AY49:BD49"/>
    <mergeCell ref="BE49:BJ49"/>
    <mergeCell ref="C48:L48"/>
    <mergeCell ref="N48:Q48"/>
    <mergeCell ref="R48:T48"/>
    <mergeCell ref="U48:Z48"/>
    <mergeCell ref="AA48:AF48"/>
    <mergeCell ref="AG48:AL48"/>
    <mergeCell ref="AM48:AR48"/>
    <mergeCell ref="AS48:AX48"/>
    <mergeCell ref="AY48:BD48"/>
    <mergeCell ref="BE46:BJ46"/>
    <mergeCell ref="C47:L47"/>
    <mergeCell ref="N47:Q47"/>
    <mergeCell ref="R47:T47"/>
    <mergeCell ref="U47:Z47"/>
    <mergeCell ref="AA47:AF47"/>
    <mergeCell ref="AG47:AL47"/>
    <mergeCell ref="AM47:AR47"/>
    <mergeCell ref="AS47:AX47"/>
    <mergeCell ref="AY47:BD47"/>
    <mergeCell ref="BE47:BJ47"/>
    <mergeCell ref="C46:L46"/>
    <mergeCell ref="N46:Q46"/>
    <mergeCell ref="R46:T46"/>
    <mergeCell ref="U46:Z46"/>
    <mergeCell ref="AA46:AF46"/>
    <mergeCell ref="AG46:AL46"/>
    <mergeCell ref="AM46:AR46"/>
    <mergeCell ref="AS46:AX46"/>
    <mergeCell ref="AY46:BD46"/>
    <mergeCell ref="BE44:BJ44"/>
    <mergeCell ref="C32:L32"/>
    <mergeCell ref="N32:Q32"/>
    <mergeCell ref="R32:T32"/>
    <mergeCell ref="U32:Z32"/>
    <mergeCell ref="AA32:AF32"/>
    <mergeCell ref="AG32:AL32"/>
    <mergeCell ref="AM32:AR32"/>
    <mergeCell ref="AS44:AX44"/>
    <mergeCell ref="AY44:BD44"/>
    <mergeCell ref="BE42:BJ42"/>
    <mergeCell ref="C43:L43"/>
    <mergeCell ref="N43:Q43"/>
    <mergeCell ref="R43:T43"/>
    <mergeCell ref="U43:Z43"/>
    <mergeCell ref="AA43:AF43"/>
    <mergeCell ref="AG43:AL43"/>
    <mergeCell ref="AM43:AR43"/>
    <mergeCell ref="C44:L44"/>
    <mergeCell ref="N44:Q44"/>
    <mergeCell ref="R44:T44"/>
    <mergeCell ref="U44:Z44"/>
    <mergeCell ref="AA44:AF44"/>
    <mergeCell ref="AG44:AL44"/>
    <mergeCell ref="AM44:AR44"/>
    <mergeCell ref="AS43:AX43"/>
    <mergeCell ref="AY43:BD43"/>
    <mergeCell ref="BE43:BJ43"/>
    <mergeCell ref="C42:L42"/>
    <mergeCell ref="N42:Q42"/>
    <mergeCell ref="R42:T42"/>
    <mergeCell ref="U42:Z42"/>
    <mergeCell ref="AA42:AF42"/>
    <mergeCell ref="AG42:AL42"/>
    <mergeCell ref="AM42:AR42"/>
    <mergeCell ref="AS42:AX42"/>
    <mergeCell ref="AY42:BD42"/>
    <mergeCell ref="BE40:BJ40"/>
    <mergeCell ref="C41:L41"/>
    <mergeCell ref="N41:Q41"/>
    <mergeCell ref="R41:T41"/>
    <mergeCell ref="U41:Z41"/>
    <mergeCell ref="AA41:AF41"/>
    <mergeCell ref="AG41:AL41"/>
    <mergeCell ref="AM41:AR41"/>
    <mergeCell ref="AS41:AX41"/>
    <mergeCell ref="AY41:BD41"/>
    <mergeCell ref="BE41:BJ41"/>
    <mergeCell ref="C40:L40"/>
    <mergeCell ref="N40:Q40"/>
    <mergeCell ref="R40:T40"/>
    <mergeCell ref="U40:Z40"/>
    <mergeCell ref="AA40:AF40"/>
    <mergeCell ref="AG40:AL40"/>
    <mergeCell ref="AM40:AR40"/>
    <mergeCell ref="AS40:AX40"/>
    <mergeCell ref="AY40:BD40"/>
    <mergeCell ref="BE37:BJ37"/>
    <mergeCell ref="C38:L38"/>
    <mergeCell ref="N38:Q38"/>
    <mergeCell ref="R38:T38"/>
    <mergeCell ref="U38:Z38"/>
    <mergeCell ref="AA38:AF38"/>
    <mergeCell ref="AG38:AL38"/>
    <mergeCell ref="AM38:AR38"/>
    <mergeCell ref="AS38:AX38"/>
    <mergeCell ref="AY38:BD38"/>
    <mergeCell ref="BE38:BJ38"/>
    <mergeCell ref="C37:L37"/>
    <mergeCell ref="N37:Q37"/>
    <mergeCell ref="R37:T37"/>
    <mergeCell ref="U37:Z37"/>
    <mergeCell ref="AA37:AF37"/>
    <mergeCell ref="AG37:AL37"/>
    <mergeCell ref="AM37:AR37"/>
    <mergeCell ref="AS37:AX37"/>
    <mergeCell ref="AY37:BD37"/>
    <mergeCell ref="BE35:BJ35"/>
    <mergeCell ref="C36:L36"/>
    <mergeCell ref="N36:Q36"/>
    <mergeCell ref="R36:T36"/>
    <mergeCell ref="U36:Z36"/>
    <mergeCell ref="AA36:AF36"/>
    <mergeCell ref="AG36:AL36"/>
    <mergeCell ref="AM36:AR36"/>
    <mergeCell ref="AS36:AX36"/>
    <mergeCell ref="AY36:BD36"/>
    <mergeCell ref="BE36:BJ36"/>
    <mergeCell ref="C35:L35"/>
    <mergeCell ref="N35:Q35"/>
    <mergeCell ref="R35:T35"/>
    <mergeCell ref="U35:Z35"/>
    <mergeCell ref="AA35:AF35"/>
    <mergeCell ref="AG35:AL35"/>
    <mergeCell ref="AM35:AR35"/>
    <mergeCell ref="AS35:AX35"/>
    <mergeCell ref="AY35:BD35"/>
    <mergeCell ref="BK29:BK30"/>
    <mergeCell ref="U30:Z30"/>
    <mergeCell ref="AA30:AF30"/>
    <mergeCell ref="AG30:AL30"/>
    <mergeCell ref="AM30:AR30"/>
    <mergeCell ref="AS30:AX30"/>
    <mergeCell ref="AY30:BD30"/>
    <mergeCell ref="BI31:BJ31"/>
    <mergeCell ref="AS32:AX32"/>
    <mergeCell ref="AY32:BD32"/>
    <mergeCell ref="BE32:BJ32"/>
    <mergeCell ref="AM34:AR34"/>
    <mergeCell ref="AS34:AX34"/>
    <mergeCell ref="AY34:BD34"/>
    <mergeCell ref="BE34:BJ34"/>
    <mergeCell ref="BE21:BJ21"/>
    <mergeCell ref="C23:D23"/>
    <mergeCell ref="F23:G23"/>
    <mergeCell ref="F24:G24"/>
    <mergeCell ref="B25:D25"/>
    <mergeCell ref="B27:BJ27"/>
    <mergeCell ref="C34:L34"/>
    <mergeCell ref="N34:Q34"/>
    <mergeCell ref="R34:T34"/>
    <mergeCell ref="U34:Z34"/>
    <mergeCell ref="AA34:AF34"/>
    <mergeCell ref="AG34:AL34"/>
    <mergeCell ref="B29:M30"/>
    <mergeCell ref="N29:T30"/>
    <mergeCell ref="U29:AL29"/>
    <mergeCell ref="AM29:BD29"/>
    <mergeCell ref="BE29:BJ30"/>
    <mergeCell ref="C21:L21"/>
    <mergeCell ref="N21:Q21"/>
    <mergeCell ref="R21:T21"/>
    <mergeCell ref="U21:Z21"/>
    <mergeCell ref="AA21:AF21"/>
    <mergeCell ref="AG21:AL21"/>
    <mergeCell ref="AM21:AR21"/>
    <mergeCell ref="AS21:AX21"/>
    <mergeCell ref="AY21:BD21"/>
    <mergeCell ref="BE19:BJ19"/>
    <mergeCell ref="C20:L20"/>
    <mergeCell ref="N20:Q20"/>
    <mergeCell ref="R20:T20"/>
    <mergeCell ref="U20:Z20"/>
    <mergeCell ref="AA20:AF20"/>
    <mergeCell ref="AG20:AL20"/>
    <mergeCell ref="AM20:AR20"/>
    <mergeCell ref="AS20:AX20"/>
    <mergeCell ref="AY20:BD20"/>
    <mergeCell ref="BE20:BJ20"/>
    <mergeCell ref="C19:L19"/>
    <mergeCell ref="N19:Q19"/>
    <mergeCell ref="R19:T19"/>
    <mergeCell ref="U19:Z19"/>
    <mergeCell ref="AA19:AF19"/>
    <mergeCell ref="AG19:AL19"/>
    <mergeCell ref="AM19:AR19"/>
    <mergeCell ref="AS19:AX19"/>
    <mergeCell ref="AY19:BD19"/>
    <mergeCell ref="BE17:BJ17"/>
    <mergeCell ref="C18:L18"/>
    <mergeCell ref="N18:Q18"/>
    <mergeCell ref="R18:T18"/>
    <mergeCell ref="U18:Z18"/>
    <mergeCell ref="AA18:AF18"/>
    <mergeCell ref="AG18:AL18"/>
    <mergeCell ref="AM18:AR18"/>
    <mergeCell ref="AS18:AX18"/>
    <mergeCell ref="AY18:BD18"/>
    <mergeCell ref="BE18:BJ18"/>
    <mergeCell ref="C17:L17"/>
    <mergeCell ref="N17:Q17"/>
    <mergeCell ref="R17:T17"/>
    <mergeCell ref="U17:Z17"/>
    <mergeCell ref="AA17:AF17"/>
    <mergeCell ref="AG17:AL17"/>
    <mergeCell ref="AM17:AR17"/>
    <mergeCell ref="AS17:AX17"/>
    <mergeCell ref="AY17:BD17"/>
    <mergeCell ref="BE14:BJ14"/>
    <mergeCell ref="C15:L15"/>
    <mergeCell ref="N15:Q15"/>
    <mergeCell ref="R15:T15"/>
    <mergeCell ref="U15:Z15"/>
    <mergeCell ref="AA15:AF15"/>
    <mergeCell ref="AG15:AL15"/>
    <mergeCell ref="AM15:AR15"/>
    <mergeCell ref="AS15:AX15"/>
    <mergeCell ref="AY15:BD15"/>
    <mergeCell ref="BE15:BJ15"/>
    <mergeCell ref="C14:L14"/>
    <mergeCell ref="N14:Q14"/>
    <mergeCell ref="R14:T14"/>
    <mergeCell ref="U14:Z14"/>
    <mergeCell ref="AA14:AF14"/>
    <mergeCell ref="AG14:AL14"/>
    <mergeCell ref="AM14:AR14"/>
    <mergeCell ref="AS14:AX14"/>
    <mergeCell ref="AY14:BD14"/>
    <mergeCell ref="BE12:BJ12"/>
    <mergeCell ref="C13:L13"/>
    <mergeCell ref="N13:Q13"/>
    <mergeCell ref="R13:T13"/>
    <mergeCell ref="U13:Z13"/>
    <mergeCell ref="AA13:AF13"/>
    <mergeCell ref="AG13:AL13"/>
    <mergeCell ref="AM13:AR13"/>
    <mergeCell ref="AS13:AX13"/>
    <mergeCell ref="AY13:BD13"/>
    <mergeCell ref="BE13:BJ13"/>
    <mergeCell ref="C12:L12"/>
    <mergeCell ref="N12:Q12"/>
    <mergeCell ref="R12:T12"/>
    <mergeCell ref="U12:Z12"/>
    <mergeCell ref="AA12:AF12"/>
    <mergeCell ref="A1:S2"/>
    <mergeCell ref="B6:BJ6"/>
    <mergeCell ref="B8:M9"/>
    <mergeCell ref="N8:T9"/>
    <mergeCell ref="U9:Z9"/>
    <mergeCell ref="AG12:AL12"/>
    <mergeCell ref="AM12:AR12"/>
    <mergeCell ref="AS12:AX12"/>
    <mergeCell ref="AY12:BD12"/>
    <mergeCell ref="BI10:BJ10"/>
    <mergeCell ref="C11:L11"/>
    <mergeCell ref="N11:Q11"/>
    <mergeCell ref="R11:T11"/>
    <mergeCell ref="U11:Z11"/>
    <mergeCell ref="AA11:AF11"/>
    <mergeCell ref="BE8:BJ9"/>
    <mergeCell ref="AA9:AF9"/>
    <mergeCell ref="AG9:AL9"/>
    <mergeCell ref="U8:AL8"/>
    <mergeCell ref="AM8:BD8"/>
    <mergeCell ref="AM9:AR9"/>
    <mergeCell ref="AS9:AX9"/>
    <mergeCell ref="AY9:BD9"/>
    <mergeCell ref="AG11:AL11"/>
    <mergeCell ref="AM11:AR11"/>
    <mergeCell ref="AS11:AX11"/>
    <mergeCell ref="AY11:BD11"/>
    <mergeCell ref="BE11:BJ11"/>
  </mergeCells>
  <phoneticPr fontId="2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81"/>
  <sheetViews>
    <sheetView view="pageBreakPreview" topLeftCell="A49" zoomScaleNormal="100" zoomScaleSheetLayoutView="100" workbookViewId="0">
      <selection activeCell="W79" sqref="W79"/>
    </sheetView>
  </sheetViews>
  <sheetFormatPr defaultRowHeight="13.5"/>
  <cols>
    <col min="1" max="1" width="1" customWidth="1"/>
    <col min="2" max="63" width="1.625" customWidth="1"/>
  </cols>
  <sheetData>
    <row r="1" spans="2:63" ht="11.1" customHeight="1">
      <c r="AS1" s="444">
        <f>'208'!A1+1</f>
        <v>209</v>
      </c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</row>
    <row r="2" spans="2:63" ht="11.1" customHeight="1"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</row>
    <row r="3" spans="2:63" ht="11.1" customHeight="1"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</row>
    <row r="4" spans="2:63" ht="11.1" customHeight="1"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</row>
    <row r="5" spans="2:63" ht="12" customHeight="1">
      <c r="B5" s="380" t="s">
        <v>794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</row>
    <row r="6" spans="2:63" ht="11.1" customHeight="1">
      <c r="BJ6" s="20" t="s">
        <v>755</v>
      </c>
    </row>
    <row r="7" spans="2:63" ht="13.5" customHeight="1">
      <c r="B7" s="411" t="s">
        <v>754</v>
      </c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 t="s">
        <v>652</v>
      </c>
      <c r="P7" s="386"/>
      <c r="Q7" s="386"/>
      <c r="R7" s="386"/>
      <c r="S7" s="386"/>
      <c r="T7" s="386"/>
      <c r="U7" s="386" t="s">
        <v>651</v>
      </c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 t="s">
        <v>687</v>
      </c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 t="s">
        <v>753</v>
      </c>
      <c r="BF7" s="386"/>
      <c r="BG7" s="386"/>
      <c r="BH7" s="386"/>
      <c r="BI7" s="386"/>
      <c r="BJ7" s="387"/>
    </row>
    <row r="8" spans="2:63" ht="13.5" customHeight="1">
      <c r="B8" s="412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470" t="s">
        <v>238</v>
      </c>
      <c r="V8" s="470"/>
      <c r="W8" s="470"/>
      <c r="X8" s="470"/>
      <c r="Y8" s="470"/>
      <c r="Z8" s="470"/>
      <c r="AA8" s="470" t="s">
        <v>644</v>
      </c>
      <c r="AB8" s="470"/>
      <c r="AC8" s="470"/>
      <c r="AD8" s="470"/>
      <c r="AE8" s="470"/>
      <c r="AF8" s="470"/>
      <c r="AG8" s="470" t="s">
        <v>643</v>
      </c>
      <c r="AH8" s="470"/>
      <c r="AI8" s="470"/>
      <c r="AJ8" s="470"/>
      <c r="AK8" s="470"/>
      <c r="AL8" s="470"/>
      <c r="AM8" s="470" t="s">
        <v>238</v>
      </c>
      <c r="AN8" s="470"/>
      <c r="AO8" s="470"/>
      <c r="AP8" s="470"/>
      <c r="AQ8" s="470"/>
      <c r="AR8" s="470"/>
      <c r="AS8" s="470" t="s">
        <v>644</v>
      </c>
      <c r="AT8" s="470"/>
      <c r="AU8" s="470"/>
      <c r="AV8" s="470"/>
      <c r="AW8" s="470"/>
      <c r="AX8" s="470"/>
      <c r="AY8" s="470" t="s">
        <v>643</v>
      </c>
      <c r="AZ8" s="470"/>
      <c r="BA8" s="470"/>
      <c r="BB8" s="470"/>
      <c r="BC8" s="470"/>
      <c r="BD8" s="470"/>
      <c r="BE8" s="385"/>
      <c r="BF8" s="385"/>
      <c r="BG8" s="385"/>
      <c r="BH8" s="385"/>
      <c r="BI8" s="385"/>
      <c r="BJ8" s="388"/>
    </row>
    <row r="9" spans="2:63" ht="11.1" customHeight="1">
      <c r="N9" s="21"/>
      <c r="BI9" s="842" t="s">
        <v>803</v>
      </c>
      <c r="BJ9" s="843"/>
    </row>
    <row r="10" spans="2:63" ht="12" customHeight="1">
      <c r="C10" s="807" t="s">
        <v>18</v>
      </c>
      <c r="D10" s="807"/>
      <c r="E10" s="807"/>
      <c r="F10" s="807"/>
      <c r="G10" s="807"/>
      <c r="H10" s="807"/>
      <c r="I10" s="807"/>
      <c r="J10" s="807"/>
      <c r="K10" s="807"/>
      <c r="L10" s="807"/>
      <c r="M10" s="807"/>
      <c r="N10" s="22"/>
      <c r="O10" s="825">
        <v>20</v>
      </c>
      <c r="P10" s="825"/>
      <c r="Q10" s="825"/>
      <c r="R10" s="825"/>
      <c r="S10" s="825"/>
      <c r="T10" s="825"/>
      <c r="U10" s="825">
        <v>36</v>
      </c>
      <c r="V10" s="825"/>
      <c r="W10" s="825"/>
      <c r="X10" s="825"/>
      <c r="Y10" s="825"/>
      <c r="Z10" s="825"/>
      <c r="AA10" s="825">
        <v>15</v>
      </c>
      <c r="AB10" s="825"/>
      <c r="AC10" s="825"/>
      <c r="AD10" s="825"/>
      <c r="AE10" s="825"/>
      <c r="AF10" s="825"/>
      <c r="AG10" s="825">
        <v>21</v>
      </c>
      <c r="AH10" s="825"/>
      <c r="AI10" s="825"/>
      <c r="AJ10" s="825"/>
      <c r="AK10" s="825"/>
      <c r="AL10" s="825"/>
      <c r="AM10" s="825">
        <v>647</v>
      </c>
      <c r="AN10" s="825"/>
      <c r="AO10" s="825"/>
      <c r="AP10" s="825"/>
      <c r="AQ10" s="825"/>
      <c r="AR10" s="825"/>
      <c r="AS10" s="825">
        <v>323</v>
      </c>
      <c r="AT10" s="825"/>
      <c r="AU10" s="825"/>
      <c r="AV10" s="825"/>
      <c r="AW10" s="825"/>
      <c r="AX10" s="825"/>
      <c r="AY10" s="825">
        <v>324</v>
      </c>
      <c r="AZ10" s="825"/>
      <c r="BA10" s="825"/>
      <c r="BB10" s="825"/>
      <c r="BC10" s="825"/>
      <c r="BD10" s="825"/>
      <c r="BE10" s="825">
        <v>32034</v>
      </c>
      <c r="BF10" s="825"/>
      <c r="BG10" s="825"/>
      <c r="BH10" s="825"/>
      <c r="BI10" s="825"/>
      <c r="BJ10" s="825"/>
    </row>
    <row r="11" spans="2:63" ht="8.1" customHeight="1">
      <c r="N11" s="22"/>
    </row>
    <row r="12" spans="2:63" ht="12" customHeight="1">
      <c r="C12" s="389" t="s">
        <v>802</v>
      </c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55"/>
      <c r="O12" s="823">
        <v>20</v>
      </c>
      <c r="P12" s="823"/>
      <c r="Q12" s="823"/>
      <c r="R12" s="823"/>
      <c r="S12" s="823"/>
      <c r="T12" s="823"/>
      <c r="U12" s="823">
        <f>SUM(AA12,AG12)</f>
        <v>36</v>
      </c>
      <c r="V12" s="823"/>
      <c r="W12" s="823"/>
      <c r="X12" s="823"/>
      <c r="Y12" s="823"/>
      <c r="Z12" s="823"/>
      <c r="AA12" s="846">
        <f>7+8</f>
        <v>15</v>
      </c>
      <c r="AB12" s="846"/>
      <c r="AC12" s="846"/>
      <c r="AD12" s="846"/>
      <c r="AE12" s="846"/>
      <c r="AF12" s="846"/>
      <c r="AG12" s="846">
        <f>12+9</f>
        <v>21</v>
      </c>
      <c r="AH12" s="846"/>
      <c r="AI12" s="846"/>
      <c r="AJ12" s="846"/>
      <c r="AK12" s="846"/>
      <c r="AL12" s="846"/>
      <c r="AM12" s="823">
        <f>SUM(AS12,AY12)</f>
        <v>647</v>
      </c>
      <c r="AN12" s="823"/>
      <c r="AO12" s="823"/>
      <c r="AP12" s="823"/>
      <c r="AQ12" s="823"/>
      <c r="AR12" s="823"/>
      <c r="AS12" s="823">
        <v>323</v>
      </c>
      <c r="AT12" s="823"/>
      <c r="AU12" s="823"/>
      <c r="AV12" s="823"/>
      <c r="AW12" s="823"/>
      <c r="AX12" s="823"/>
      <c r="AY12" s="823">
        <v>324</v>
      </c>
      <c r="AZ12" s="823"/>
      <c r="BA12" s="823"/>
      <c r="BB12" s="823"/>
      <c r="BC12" s="823"/>
      <c r="BD12" s="823"/>
      <c r="BE12" s="823">
        <v>32034</v>
      </c>
      <c r="BF12" s="823"/>
      <c r="BG12" s="823"/>
      <c r="BH12" s="823"/>
      <c r="BI12" s="823"/>
      <c r="BJ12" s="823"/>
    </row>
    <row r="13" spans="2:63" ht="8.1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2:63" ht="11.1" customHeight="1">
      <c r="C14" s="400" t="s">
        <v>8</v>
      </c>
      <c r="D14" s="400"/>
      <c r="E14" s="297" t="s">
        <v>470</v>
      </c>
      <c r="F14" s="377">
        <v>-1</v>
      </c>
      <c r="G14" s="377"/>
      <c r="H14" s="4" t="s">
        <v>801</v>
      </c>
    </row>
    <row r="15" spans="2:63" ht="11.1" customHeight="1">
      <c r="F15" s="378">
        <v>-2</v>
      </c>
      <c r="G15" s="378"/>
      <c r="H15" s="5" t="s">
        <v>800</v>
      </c>
    </row>
    <row r="16" spans="2:63" ht="11.1" customHeight="1">
      <c r="B16" s="404" t="s">
        <v>9</v>
      </c>
      <c r="C16" s="404"/>
      <c r="D16" s="404"/>
      <c r="E16" s="297" t="s">
        <v>470</v>
      </c>
      <c r="F16" s="2" t="s">
        <v>758</v>
      </c>
    </row>
    <row r="17" spans="2:63" ht="11.1" customHeight="1"/>
    <row r="18" spans="2:63" ht="15.95" customHeight="1">
      <c r="B18" s="379" t="s">
        <v>799</v>
      </c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79"/>
      <c r="AJ18" s="379"/>
      <c r="AK18" s="379"/>
      <c r="AL18" s="379"/>
      <c r="AM18" s="379"/>
      <c r="AN18" s="379"/>
      <c r="AO18" s="379"/>
      <c r="AP18" s="379"/>
      <c r="AQ18" s="379"/>
      <c r="AR18" s="379"/>
      <c r="AS18" s="379"/>
      <c r="AT18" s="379"/>
      <c r="AU18" s="379"/>
      <c r="AV18" s="379"/>
      <c r="AW18" s="379"/>
      <c r="AX18" s="379"/>
      <c r="AY18" s="379"/>
      <c r="AZ18" s="379"/>
      <c r="BA18" s="379"/>
      <c r="BB18" s="379"/>
      <c r="BC18" s="379"/>
      <c r="BD18" s="379"/>
      <c r="BE18" s="379"/>
      <c r="BF18" s="379"/>
      <c r="BG18" s="379"/>
      <c r="BH18" s="379"/>
      <c r="BI18" s="379"/>
      <c r="BJ18" s="379"/>
    </row>
    <row r="19" spans="2:63" ht="12" customHeight="1">
      <c r="B19" s="380" t="s">
        <v>756</v>
      </c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0"/>
      <c r="AZ19" s="380"/>
      <c r="BA19" s="380"/>
      <c r="BB19" s="380"/>
      <c r="BC19" s="380"/>
      <c r="BD19" s="380"/>
      <c r="BE19" s="380"/>
      <c r="BF19" s="380"/>
      <c r="BG19" s="380"/>
      <c r="BH19" s="380"/>
      <c r="BI19" s="380"/>
      <c r="BJ19" s="380"/>
    </row>
    <row r="20" spans="2:63" ht="11.1" customHeight="1">
      <c r="BJ20" s="20" t="s">
        <v>654</v>
      </c>
    </row>
    <row r="21" spans="2:63" ht="13.5" customHeight="1">
      <c r="B21" s="411" t="s">
        <v>424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852" t="s">
        <v>18</v>
      </c>
      <c r="O21" s="752"/>
      <c r="P21" s="752"/>
      <c r="Q21" s="752"/>
      <c r="R21" s="752"/>
      <c r="S21" s="752"/>
      <c r="T21" s="752"/>
      <c r="U21" s="386" t="s">
        <v>685</v>
      </c>
      <c r="V21" s="752"/>
      <c r="W21" s="752"/>
      <c r="X21" s="752"/>
      <c r="Y21" s="752"/>
      <c r="Z21" s="752"/>
      <c r="AA21" s="752"/>
      <c r="AB21" s="386" t="s">
        <v>684</v>
      </c>
      <c r="AC21" s="752"/>
      <c r="AD21" s="752"/>
      <c r="AE21" s="752"/>
      <c r="AF21" s="752"/>
      <c r="AG21" s="752"/>
      <c r="AH21" s="752"/>
      <c r="AI21" s="386" t="s">
        <v>683</v>
      </c>
      <c r="AJ21" s="752"/>
      <c r="AK21" s="752"/>
      <c r="AL21" s="752"/>
      <c r="AM21" s="752"/>
      <c r="AN21" s="752"/>
      <c r="AO21" s="752"/>
      <c r="AP21" s="386" t="s">
        <v>692</v>
      </c>
      <c r="AQ21" s="752"/>
      <c r="AR21" s="752"/>
      <c r="AS21" s="752"/>
      <c r="AT21" s="752"/>
      <c r="AU21" s="752"/>
      <c r="AV21" s="752"/>
      <c r="AW21" s="386" t="s">
        <v>691</v>
      </c>
      <c r="AX21" s="752"/>
      <c r="AY21" s="752"/>
      <c r="AZ21" s="752"/>
      <c r="BA21" s="752"/>
      <c r="BB21" s="752"/>
      <c r="BC21" s="752"/>
      <c r="BD21" s="386" t="s">
        <v>690</v>
      </c>
      <c r="BE21" s="386"/>
      <c r="BF21" s="386"/>
      <c r="BG21" s="386"/>
      <c r="BH21" s="386"/>
      <c r="BI21" s="386"/>
      <c r="BJ21" s="387"/>
    </row>
    <row r="22" spans="2:63" ht="8.1" customHeight="1">
      <c r="M22" s="21"/>
    </row>
    <row r="23" spans="2:63" ht="12" customHeight="1">
      <c r="C23" s="389" t="s">
        <v>7</v>
      </c>
      <c r="D23" s="389"/>
      <c r="E23" s="389"/>
      <c r="F23" s="389"/>
      <c r="G23" s="380">
        <v>25</v>
      </c>
      <c r="H23" s="380"/>
      <c r="I23" s="380"/>
      <c r="J23" s="380" t="s">
        <v>438</v>
      </c>
      <c r="K23" s="380"/>
      <c r="L23" s="380"/>
      <c r="M23" s="22"/>
      <c r="N23" s="723">
        <f t="shared" ref="N23:N28" si="0">SUM(U23:BK23)</f>
        <v>32563</v>
      </c>
      <c r="O23" s="724"/>
      <c r="P23" s="724"/>
      <c r="Q23" s="724"/>
      <c r="R23" s="724"/>
      <c r="S23" s="724"/>
      <c r="T23" s="724"/>
      <c r="U23" s="712">
        <v>5388</v>
      </c>
      <c r="V23" s="393"/>
      <c r="W23" s="393"/>
      <c r="X23" s="393"/>
      <c r="Y23" s="393"/>
      <c r="Z23" s="393"/>
      <c r="AA23" s="393"/>
      <c r="AB23" s="712">
        <v>5103</v>
      </c>
      <c r="AC23" s="823"/>
      <c r="AD23" s="823"/>
      <c r="AE23" s="823"/>
      <c r="AF23" s="823"/>
      <c r="AG23" s="823"/>
      <c r="AH23" s="823"/>
      <c r="AI23" s="712">
        <v>5306</v>
      </c>
      <c r="AJ23" s="823"/>
      <c r="AK23" s="823"/>
      <c r="AL23" s="823"/>
      <c r="AM23" s="823"/>
      <c r="AN23" s="823"/>
      <c r="AO23" s="823"/>
      <c r="AP23" s="712">
        <v>5482</v>
      </c>
      <c r="AQ23" s="823"/>
      <c r="AR23" s="823"/>
      <c r="AS23" s="823"/>
      <c r="AT23" s="823"/>
      <c r="AU23" s="823"/>
      <c r="AV23" s="823"/>
      <c r="AW23" s="712">
        <v>5538</v>
      </c>
      <c r="AX23" s="823"/>
      <c r="AY23" s="823"/>
      <c r="AZ23" s="823"/>
      <c r="BA23" s="823"/>
      <c r="BB23" s="823"/>
      <c r="BC23" s="823"/>
      <c r="BD23" s="712">
        <v>5746</v>
      </c>
      <c r="BE23" s="823"/>
      <c r="BF23" s="823"/>
      <c r="BG23" s="823"/>
      <c r="BH23" s="823"/>
      <c r="BI23" s="823"/>
      <c r="BJ23" s="823"/>
      <c r="BK23" s="354"/>
    </row>
    <row r="24" spans="2:63" ht="12" customHeight="1">
      <c r="G24" s="380">
        <v>26</v>
      </c>
      <c r="H24" s="380"/>
      <c r="I24" s="380"/>
      <c r="M24" s="22"/>
      <c r="N24" s="723">
        <f t="shared" si="0"/>
        <v>32208</v>
      </c>
      <c r="O24" s="724"/>
      <c r="P24" s="724"/>
      <c r="Q24" s="724"/>
      <c r="R24" s="724"/>
      <c r="S24" s="724"/>
      <c r="T24" s="724"/>
      <c r="U24" s="712">
        <v>5417</v>
      </c>
      <c r="V24" s="823"/>
      <c r="W24" s="823"/>
      <c r="X24" s="823"/>
      <c r="Y24" s="823"/>
      <c r="Z24" s="823"/>
      <c r="AA24" s="823"/>
      <c r="AB24" s="712">
        <v>5383</v>
      </c>
      <c r="AC24" s="823"/>
      <c r="AD24" s="823"/>
      <c r="AE24" s="823"/>
      <c r="AF24" s="823"/>
      <c r="AG24" s="823"/>
      <c r="AH24" s="823"/>
      <c r="AI24" s="712">
        <v>5075</v>
      </c>
      <c r="AJ24" s="823"/>
      <c r="AK24" s="823"/>
      <c r="AL24" s="823"/>
      <c r="AM24" s="823"/>
      <c r="AN24" s="823"/>
      <c r="AO24" s="823"/>
      <c r="AP24" s="712">
        <v>5293</v>
      </c>
      <c r="AQ24" s="823"/>
      <c r="AR24" s="823"/>
      <c r="AS24" s="823"/>
      <c r="AT24" s="823"/>
      <c r="AU24" s="823"/>
      <c r="AV24" s="823"/>
      <c r="AW24" s="712">
        <v>5493</v>
      </c>
      <c r="AX24" s="823"/>
      <c r="AY24" s="823"/>
      <c r="AZ24" s="823"/>
      <c r="BA24" s="823"/>
      <c r="BB24" s="823"/>
      <c r="BC24" s="823"/>
      <c r="BD24" s="712">
        <v>5547</v>
      </c>
      <c r="BE24" s="823"/>
      <c r="BF24" s="823"/>
      <c r="BG24" s="823"/>
      <c r="BH24" s="823"/>
      <c r="BI24" s="823"/>
      <c r="BJ24" s="823"/>
      <c r="BK24" s="354"/>
    </row>
    <row r="25" spans="2:63" ht="12" customHeight="1">
      <c r="G25" s="380">
        <v>27</v>
      </c>
      <c r="H25" s="380"/>
      <c r="I25" s="380"/>
      <c r="M25" s="22"/>
      <c r="N25" s="723">
        <f t="shared" si="0"/>
        <v>32134</v>
      </c>
      <c r="O25" s="724"/>
      <c r="P25" s="724"/>
      <c r="Q25" s="724"/>
      <c r="R25" s="724"/>
      <c r="S25" s="724"/>
      <c r="T25" s="724"/>
      <c r="U25" s="712">
        <v>5488</v>
      </c>
      <c r="V25" s="823"/>
      <c r="W25" s="823"/>
      <c r="X25" s="823"/>
      <c r="Y25" s="823"/>
      <c r="Z25" s="823"/>
      <c r="AA25" s="823"/>
      <c r="AB25" s="712">
        <v>5417</v>
      </c>
      <c r="AC25" s="823"/>
      <c r="AD25" s="823"/>
      <c r="AE25" s="823"/>
      <c r="AF25" s="823"/>
      <c r="AG25" s="823"/>
      <c r="AH25" s="823"/>
      <c r="AI25" s="712">
        <v>5350</v>
      </c>
      <c r="AJ25" s="823"/>
      <c r="AK25" s="823"/>
      <c r="AL25" s="823"/>
      <c r="AM25" s="823"/>
      <c r="AN25" s="823"/>
      <c r="AO25" s="823"/>
      <c r="AP25" s="712">
        <v>5067</v>
      </c>
      <c r="AQ25" s="823"/>
      <c r="AR25" s="823"/>
      <c r="AS25" s="823"/>
      <c r="AT25" s="823"/>
      <c r="AU25" s="823"/>
      <c r="AV25" s="823"/>
      <c r="AW25" s="712">
        <v>5309</v>
      </c>
      <c r="AX25" s="823"/>
      <c r="AY25" s="823"/>
      <c r="AZ25" s="823"/>
      <c r="BA25" s="823"/>
      <c r="BB25" s="823"/>
      <c r="BC25" s="823"/>
      <c r="BD25" s="712">
        <v>5503</v>
      </c>
      <c r="BE25" s="823"/>
      <c r="BF25" s="823"/>
      <c r="BG25" s="823"/>
      <c r="BH25" s="823"/>
      <c r="BI25" s="823"/>
      <c r="BJ25" s="823"/>
      <c r="BK25" s="354"/>
    </row>
    <row r="26" spans="2:63" ht="12" customHeight="1">
      <c r="G26" s="380">
        <v>28</v>
      </c>
      <c r="H26" s="380"/>
      <c r="I26" s="380"/>
      <c r="M26" s="22"/>
      <c r="N26" s="723">
        <f t="shared" si="0"/>
        <v>31938</v>
      </c>
      <c r="O26" s="724"/>
      <c r="P26" s="724"/>
      <c r="Q26" s="724"/>
      <c r="R26" s="724"/>
      <c r="S26" s="724"/>
      <c r="T26" s="724"/>
      <c r="U26" s="712">
        <v>5298</v>
      </c>
      <c r="V26" s="823"/>
      <c r="W26" s="823"/>
      <c r="X26" s="823"/>
      <c r="Y26" s="823"/>
      <c r="Z26" s="823"/>
      <c r="AA26" s="823"/>
      <c r="AB26" s="712">
        <v>5492</v>
      </c>
      <c r="AC26" s="823"/>
      <c r="AD26" s="823"/>
      <c r="AE26" s="823"/>
      <c r="AF26" s="823"/>
      <c r="AG26" s="823"/>
      <c r="AH26" s="823"/>
      <c r="AI26" s="712">
        <v>5389</v>
      </c>
      <c r="AJ26" s="823"/>
      <c r="AK26" s="823"/>
      <c r="AL26" s="823"/>
      <c r="AM26" s="823"/>
      <c r="AN26" s="823"/>
      <c r="AO26" s="823"/>
      <c r="AP26" s="712">
        <v>5347</v>
      </c>
      <c r="AQ26" s="823"/>
      <c r="AR26" s="823"/>
      <c r="AS26" s="823"/>
      <c r="AT26" s="823"/>
      <c r="AU26" s="823"/>
      <c r="AV26" s="823"/>
      <c r="AW26" s="712">
        <v>5088</v>
      </c>
      <c r="AX26" s="823"/>
      <c r="AY26" s="823"/>
      <c r="AZ26" s="823"/>
      <c r="BA26" s="823"/>
      <c r="BB26" s="823"/>
      <c r="BC26" s="823"/>
      <c r="BD26" s="712">
        <v>5324</v>
      </c>
      <c r="BE26" s="823"/>
      <c r="BF26" s="823"/>
      <c r="BG26" s="823"/>
      <c r="BH26" s="823"/>
      <c r="BI26" s="823"/>
      <c r="BJ26" s="823"/>
      <c r="BK26" s="354"/>
    </row>
    <row r="27" spans="2:63" ht="12" customHeight="1">
      <c r="G27" s="380">
        <v>29</v>
      </c>
      <c r="H27" s="380"/>
      <c r="I27" s="380"/>
      <c r="M27" s="22"/>
      <c r="N27" s="723">
        <f t="shared" si="0"/>
        <v>32132</v>
      </c>
      <c r="O27" s="724"/>
      <c r="P27" s="724"/>
      <c r="Q27" s="724"/>
      <c r="R27" s="724"/>
      <c r="S27" s="724"/>
      <c r="T27" s="724"/>
      <c r="U27" s="712">
        <v>5491</v>
      </c>
      <c r="V27" s="823"/>
      <c r="W27" s="823"/>
      <c r="X27" s="823"/>
      <c r="Y27" s="823"/>
      <c r="Z27" s="823"/>
      <c r="AA27" s="823"/>
      <c r="AB27" s="712">
        <v>5306</v>
      </c>
      <c r="AC27" s="823"/>
      <c r="AD27" s="823"/>
      <c r="AE27" s="823"/>
      <c r="AF27" s="823"/>
      <c r="AG27" s="823"/>
      <c r="AH27" s="823"/>
      <c r="AI27" s="712">
        <v>5468</v>
      </c>
      <c r="AJ27" s="823"/>
      <c r="AK27" s="823"/>
      <c r="AL27" s="823"/>
      <c r="AM27" s="823"/>
      <c r="AN27" s="823"/>
      <c r="AO27" s="823"/>
      <c r="AP27" s="712">
        <v>5390</v>
      </c>
      <c r="AQ27" s="823"/>
      <c r="AR27" s="823"/>
      <c r="AS27" s="823"/>
      <c r="AT27" s="823"/>
      <c r="AU27" s="823"/>
      <c r="AV27" s="823"/>
      <c r="AW27" s="712">
        <v>5372</v>
      </c>
      <c r="AX27" s="823"/>
      <c r="AY27" s="823"/>
      <c r="AZ27" s="823"/>
      <c r="BA27" s="823"/>
      <c r="BB27" s="823"/>
      <c r="BC27" s="823"/>
      <c r="BD27" s="712">
        <v>5105</v>
      </c>
      <c r="BE27" s="823"/>
      <c r="BF27" s="823"/>
      <c r="BG27" s="823"/>
      <c r="BH27" s="823"/>
      <c r="BI27" s="823"/>
      <c r="BJ27" s="823"/>
      <c r="BK27" s="354"/>
    </row>
    <row r="28" spans="2:63" ht="12" customHeight="1">
      <c r="G28" s="380">
        <v>30</v>
      </c>
      <c r="H28" s="380"/>
      <c r="I28" s="380"/>
      <c r="M28" s="22"/>
      <c r="N28" s="723">
        <f t="shared" si="0"/>
        <v>32385</v>
      </c>
      <c r="O28" s="724"/>
      <c r="P28" s="724"/>
      <c r="Q28" s="724"/>
      <c r="R28" s="724"/>
      <c r="S28" s="724"/>
      <c r="T28" s="724"/>
      <c r="U28" s="712">
        <v>5303</v>
      </c>
      <c r="V28" s="823"/>
      <c r="W28" s="823"/>
      <c r="X28" s="823"/>
      <c r="Y28" s="823"/>
      <c r="Z28" s="823"/>
      <c r="AA28" s="823"/>
      <c r="AB28" s="712">
        <v>5505</v>
      </c>
      <c r="AC28" s="823"/>
      <c r="AD28" s="823"/>
      <c r="AE28" s="823"/>
      <c r="AF28" s="823"/>
      <c r="AG28" s="823"/>
      <c r="AH28" s="823"/>
      <c r="AI28" s="712">
        <v>5288</v>
      </c>
      <c r="AJ28" s="823"/>
      <c r="AK28" s="823"/>
      <c r="AL28" s="823"/>
      <c r="AM28" s="823"/>
      <c r="AN28" s="823"/>
      <c r="AO28" s="823"/>
      <c r="AP28" s="712">
        <v>5473</v>
      </c>
      <c r="AQ28" s="823"/>
      <c r="AR28" s="823"/>
      <c r="AS28" s="823"/>
      <c r="AT28" s="823"/>
      <c r="AU28" s="823"/>
      <c r="AV28" s="823"/>
      <c r="AW28" s="712">
        <v>5421</v>
      </c>
      <c r="AX28" s="823"/>
      <c r="AY28" s="823"/>
      <c r="AZ28" s="823"/>
      <c r="BA28" s="823"/>
      <c r="BB28" s="823"/>
      <c r="BC28" s="823"/>
      <c r="BD28" s="712">
        <v>5395</v>
      </c>
      <c r="BE28" s="850"/>
      <c r="BF28" s="850"/>
      <c r="BG28" s="850"/>
      <c r="BH28" s="850"/>
      <c r="BI28" s="850"/>
      <c r="BJ28" s="850"/>
      <c r="BK28" s="354"/>
    </row>
    <row r="29" spans="2:63" ht="8.1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2:63" ht="11.1" customHeight="1">
      <c r="C30" s="400" t="s">
        <v>8</v>
      </c>
      <c r="D30" s="400"/>
      <c r="E30" s="297" t="s">
        <v>470</v>
      </c>
      <c r="F30" s="2" t="s">
        <v>798</v>
      </c>
    </row>
    <row r="31" spans="2:63" ht="11.1" customHeight="1">
      <c r="B31" s="404" t="s">
        <v>9</v>
      </c>
      <c r="C31" s="404"/>
      <c r="D31" s="404"/>
      <c r="E31" s="297" t="s">
        <v>470</v>
      </c>
      <c r="F31" s="2" t="s">
        <v>797</v>
      </c>
    </row>
    <row r="32" spans="2:63" ht="11.1" customHeight="1"/>
    <row r="33" spans="2:63" ht="12" customHeight="1">
      <c r="B33" s="380" t="s">
        <v>778</v>
      </c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80"/>
      <c r="AN33" s="380"/>
      <c r="AO33" s="380"/>
      <c r="AP33" s="380"/>
      <c r="AQ33" s="380"/>
      <c r="AR33" s="380"/>
      <c r="AS33" s="380"/>
      <c r="AT33" s="380"/>
      <c r="AU33" s="380"/>
      <c r="AV33" s="380"/>
      <c r="AW33" s="380"/>
      <c r="AX33" s="380"/>
      <c r="AY33" s="380"/>
      <c r="AZ33" s="380"/>
      <c r="BA33" s="380"/>
      <c r="BB33" s="380"/>
      <c r="BC33" s="380"/>
      <c r="BD33" s="380"/>
      <c r="BE33" s="380"/>
      <c r="BF33" s="380"/>
      <c r="BG33" s="380"/>
      <c r="BH33" s="380"/>
      <c r="BI33" s="380"/>
      <c r="BJ33" s="380"/>
    </row>
    <row r="34" spans="2:63" ht="11.1" customHeight="1">
      <c r="BJ34" s="20" t="s">
        <v>654</v>
      </c>
    </row>
    <row r="35" spans="2:63" ht="13.5" customHeight="1">
      <c r="B35" s="411" t="s">
        <v>424</v>
      </c>
      <c r="C35" s="752"/>
      <c r="D35" s="752"/>
      <c r="E35" s="752"/>
      <c r="F35" s="752"/>
      <c r="G35" s="752"/>
      <c r="H35" s="752"/>
      <c r="I35" s="752"/>
      <c r="J35" s="752"/>
      <c r="K35" s="752"/>
      <c r="L35" s="752"/>
      <c r="M35" s="752"/>
      <c r="N35" s="852" t="s">
        <v>18</v>
      </c>
      <c r="O35" s="752"/>
      <c r="P35" s="752"/>
      <c r="Q35" s="752"/>
      <c r="R35" s="752"/>
      <c r="S35" s="752"/>
      <c r="T35" s="752"/>
      <c r="U35" s="752"/>
      <c r="V35" s="752"/>
      <c r="W35" s="752"/>
      <c r="X35" s="752"/>
      <c r="Y35" s="752"/>
      <c r="Z35" s="752"/>
      <c r="AA35" s="386" t="s">
        <v>685</v>
      </c>
      <c r="AB35" s="752"/>
      <c r="AC35" s="752"/>
      <c r="AD35" s="752"/>
      <c r="AE35" s="752"/>
      <c r="AF35" s="752"/>
      <c r="AG35" s="752"/>
      <c r="AH35" s="752"/>
      <c r="AI35" s="752"/>
      <c r="AJ35" s="752"/>
      <c r="AK35" s="752"/>
      <c r="AL35" s="752"/>
      <c r="AM35" s="386" t="s">
        <v>684</v>
      </c>
      <c r="AN35" s="752"/>
      <c r="AO35" s="752"/>
      <c r="AP35" s="752"/>
      <c r="AQ35" s="752"/>
      <c r="AR35" s="752"/>
      <c r="AS35" s="752"/>
      <c r="AT35" s="752"/>
      <c r="AU35" s="752"/>
      <c r="AV35" s="752"/>
      <c r="AW35" s="752"/>
      <c r="AX35" s="752"/>
      <c r="AY35" s="386" t="s">
        <v>683</v>
      </c>
      <c r="AZ35" s="386"/>
      <c r="BA35" s="386"/>
      <c r="BB35" s="386"/>
      <c r="BC35" s="386"/>
      <c r="BD35" s="386"/>
      <c r="BE35" s="386"/>
      <c r="BF35" s="386"/>
      <c r="BG35" s="386"/>
      <c r="BH35" s="386"/>
      <c r="BI35" s="386"/>
      <c r="BJ35" s="387"/>
    </row>
    <row r="36" spans="2:63" ht="8.1" customHeight="1">
      <c r="M36" s="21"/>
    </row>
    <row r="37" spans="2:63" ht="12" customHeight="1">
      <c r="C37" s="389" t="s">
        <v>7</v>
      </c>
      <c r="D37" s="389"/>
      <c r="E37" s="389"/>
      <c r="F37" s="389"/>
      <c r="G37" s="380">
        <v>25</v>
      </c>
      <c r="H37" s="380"/>
      <c r="I37" s="380"/>
      <c r="J37" s="380" t="s">
        <v>438</v>
      </c>
      <c r="K37" s="380"/>
      <c r="L37" s="380"/>
      <c r="M37" s="22"/>
      <c r="N37" s="723">
        <f t="shared" ref="N37:N42" si="1">SUM(AA37:BK37)</f>
        <v>14091</v>
      </c>
      <c r="O37" s="825"/>
      <c r="P37" s="825"/>
      <c r="Q37" s="825"/>
      <c r="R37" s="825"/>
      <c r="S37" s="825"/>
      <c r="T37" s="825"/>
      <c r="U37" s="825"/>
      <c r="V37" s="825"/>
      <c r="W37" s="825"/>
      <c r="X37" s="825"/>
      <c r="Y37" s="825"/>
      <c r="Z37" s="825"/>
      <c r="AA37" s="712">
        <v>4711</v>
      </c>
      <c r="AB37" s="823"/>
      <c r="AC37" s="823"/>
      <c r="AD37" s="823"/>
      <c r="AE37" s="823"/>
      <c r="AF37" s="823"/>
      <c r="AG37" s="823"/>
      <c r="AH37" s="823"/>
      <c r="AI37" s="823"/>
      <c r="AJ37" s="823"/>
      <c r="AK37" s="823"/>
      <c r="AL37" s="823"/>
      <c r="AM37" s="712">
        <v>4588</v>
      </c>
      <c r="AN37" s="823"/>
      <c r="AO37" s="823"/>
      <c r="AP37" s="823"/>
      <c r="AQ37" s="823"/>
      <c r="AR37" s="823"/>
      <c r="AS37" s="823"/>
      <c r="AT37" s="823"/>
      <c r="AU37" s="823"/>
      <c r="AV37" s="823"/>
      <c r="AW37" s="823"/>
      <c r="AX37" s="823"/>
      <c r="AY37" s="712">
        <v>4792</v>
      </c>
      <c r="AZ37" s="823"/>
      <c r="BA37" s="823"/>
      <c r="BB37" s="823"/>
      <c r="BC37" s="823"/>
      <c r="BD37" s="823"/>
      <c r="BE37" s="823"/>
      <c r="BF37" s="823"/>
      <c r="BG37" s="823"/>
      <c r="BH37" s="823"/>
      <c r="BI37" s="823"/>
      <c r="BJ37" s="823"/>
      <c r="BK37" s="354"/>
    </row>
    <row r="38" spans="2:63" ht="12" customHeight="1">
      <c r="G38" s="380">
        <v>26</v>
      </c>
      <c r="H38" s="380"/>
      <c r="I38" s="380"/>
      <c r="M38" s="22"/>
      <c r="N38" s="723">
        <f t="shared" si="1"/>
        <v>13851</v>
      </c>
      <c r="O38" s="825"/>
      <c r="P38" s="825"/>
      <c r="Q38" s="825"/>
      <c r="R38" s="825"/>
      <c r="S38" s="825"/>
      <c r="T38" s="825"/>
      <c r="U38" s="825"/>
      <c r="V38" s="825"/>
      <c r="W38" s="825"/>
      <c r="X38" s="825"/>
      <c r="Y38" s="825"/>
      <c r="Z38" s="825"/>
      <c r="AA38" s="712">
        <v>4569</v>
      </c>
      <c r="AB38" s="823"/>
      <c r="AC38" s="823"/>
      <c r="AD38" s="823"/>
      <c r="AE38" s="823"/>
      <c r="AF38" s="823"/>
      <c r="AG38" s="823"/>
      <c r="AH38" s="823"/>
      <c r="AI38" s="823"/>
      <c r="AJ38" s="823"/>
      <c r="AK38" s="823"/>
      <c r="AL38" s="823"/>
      <c r="AM38" s="712">
        <v>4702</v>
      </c>
      <c r="AN38" s="823"/>
      <c r="AO38" s="823"/>
      <c r="AP38" s="823"/>
      <c r="AQ38" s="823"/>
      <c r="AR38" s="823"/>
      <c r="AS38" s="823"/>
      <c r="AT38" s="823"/>
      <c r="AU38" s="823"/>
      <c r="AV38" s="823"/>
      <c r="AW38" s="823"/>
      <c r="AX38" s="823"/>
      <c r="AY38" s="712">
        <v>4580</v>
      </c>
      <c r="AZ38" s="823"/>
      <c r="BA38" s="823"/>
      <c r="BB38" s="823"/>
      <c r="BC38" s="823"/>
      <c r="BD38" s="823"/>
      <c r="BE38" s="823"/>
      <c r="BF38" s="823"/>
      <c r="BG38" s="823"/>
      <c r="BH38" s="823"/>
      <c r="BI38" s="823"/>
      <c r="BJ38" s="823"/>
      <c r="BK38" s="354"/>
    </row>
    <row r="39" spans="2:63" ht="12" customHeight="1">
      <c r="G39" s="380">
        <v>27</v>
      </c>
      <c r="H39" s="380"/>
      <c r="I39" s="380"/>
      <c r="M39" s="22"/>
      <c r="N39" s="723">
        <f t="shared" si="1"/>
        <v>13704</v>
      </c>
      <c r="O39" s="825"/>
      <c r="P39" s="825"/>
      <c r="Q39" s="825"/>
      <c r="R39" s="825"/>
      <c r="S39" s="825"/>
      <c r="T39" s="825"/>
      <c r="U39" s="825"/>
      <c r="V39" s="825"/>
      <c r="W39" s="825"/>
      <c r="X39" s="825"/>
      <c r="Y39" s="825"/>
      <c r="Z39" s="825"/>
      <c r="AA39" s="712">
        <v>4432</v>
      </c>
      <c r="AB39" s="823"/>
      <c r="AC39" s="823"/>
      <c r="AD39" s="823"/>
      <c r="AE39" s="823"/>
      <c r="AF39" s="823"/>
      <c r="AG39" s="823"/>
      <c r="AH39" s="823"/>
      <c r="AI39" s="823"/>
      <c r="AJ39" s="823"/>
      <c r="AK39" s="823"/>
      <c r="AL39" s="823"/>
      <c r="AM39" s="712">
        <v>4570</v>
      </c>
      <c r="AN39" s="823"/>
      <c r="AO39" s="823"/>
      <c r="AP39" s="823"/>
      <c r="AQ39" s="823"/>
      <c r="AR39" s="823"/>
      <c r="AS39" s="823"/>
      <c r="AT39" s="823"/>
      <c r="AU39" s="823"/>
      <c r="AV39" s="823"/>
      <c r="AW39" s="823"/>
      <c r="AX39" s="823"/>
      <c r="AY39" s="712">
        <v>4702</v>
      </c>
      <c r="AZ39" s="823"/>
      <c r="BA39" s="823"/>
      <c r="BB39" s="823"/>
      <c r="BC39" s="823"/>
      <c r="BD39" s="823"/>
      <c r="BE39" s="823"/>
      <c r="BF39" s="823"/>
      <c r="BG39" s="823"/>
      <c r="BH39" s="823"/>
      <c r="BI39" s="823"/>
      <c r="BJ39" s="823"/>
      <c r="BK39" s="354"/>
    </row>
    <row r="40" spans="2:63" ht="12" customHeight="1">
      <c r="G40" s="380">
        <v>28</v>
      </c>
      <c r="H40" s="380"/>
      <c r="I40" s="380"/>
      <c r="M40" s="22"/>
      <c r="N40" s="723">
        <f t="shared" si="1"/>
        <v>13394</v>
      </c>
      <c r="O40" s="825"/>
      <c r="P40" s="825"/>
      <c r="Q40" s="825"/>
      <c r="R40" s="825"/>
      <c r="S40" s="825"/>
      <c r="T40" s="825"/>
      <c r="U40" s="825"/>
      <c r="V40" s="825"/>
      <c r="W40" s="825"/>
      <c r="X40" s="825"/>
      <c r="Y40" s="825"/>
      <c r="Z40" s="825"/>
      <c r="AA40" s="712">
        <v>4383</v>
      </c>
      <c r="AB40" s="823"/>
      <c r="AC40" s="823"/>
      <c r="AD40" s="823"/>
      <c r="AE40" s="823"/>
      <c r="AF40" s="823"/>
      <c r="AG40" s="823"/>
      <c r="AH40" s="823"/>
      <c r="AI40" s="823"/>
      <c r="AJ40" s="823"/>
      <c r="AK40" s="823"/>
      <c r="AL40" s="823"/>
      <c r="AM40" s="712">
        <v>4437</v>
      </c>
      <c r="AN40" s="823"/>
      <c r="AO40" s="823"/>
      <c r="AP40" s="823"/>
      <c r="AQ40" s="823"/>
      <c r="AR40" s="823"/>
      <c r="AS40" s="823"/>
      <c r="AT40" s="823"/>
      <c r="AU40" s="823"/>
      <c r="AV40" s="823"/>
      <c r="AW40" s="823"/>
      <c r="AX40" s="823"/>
      <c r="AY40" s="712">
        <v>4574</v>
      </c>
      <c r="AZ40" s="823"/>
      <c r="BA40" s="823"/>
      <c r="BB40" s="823"/>
      <c r="BC40" s="823"/>
      <c r="BD40" s="823"/>
      <c r="BE40" s="823"/>
      <c r="BF40" s="823"/>
      <c r="BG40" s="823"/>
      <c r="BH40" s="823"/>
      <c r="BI40" s="823"/>
      <c r="BJ40" s="823"/>
      <c r="BK40" s="354"/>
    </row>
    <row r="41" spans="2:63" ht="12" customHeight="1">
      <c r="G41" s="380">
        <v>29</v>
      </c>
      <c r="H41" s="380"/>
      <c r="I41" s="380"/>
      <c r="M41" s="22"/>
      <c r="N41" s="723">
        <f t="shared" si="1"/>
        <v>13059</v>
      </c>
      <c r="O41" s="825"/>
      <c r="P41" s="825"/>
      <c r="Q41" s="825"/>
      <c r="R41" s="825"/>
      <c r="S41" s="825"/>
      <c r="T41" s="825"/>
      <c r="U41" s="825"/>
      <c r="V41" s="825"/>
      <c r="W41" s="825"/>
      <c r="X41" s="825"/>
      <c r="Y41" s="825"/>
      <c r="Z41" s="825"/>
      <c r="AA41" s="712">
        <v>4224</v>
      </c>
      <c r="AB41" s="823"/>
      <c r="AC41" s="823"/>
      <c r="AD41" s="823"/>
      <c r="AE41" s="823"/>
      <c r="AF41" s="823"/>
      <c r="AG41" s="823"/>
      <c r="AH41" s="823"/>
      <c r="AI41" s="823"/>
      <c r="AJ41" s="823"/>
      <c r="AK41" s="823"/>
      <c r="AL41" s="823"/>
      <c r="AM41" s="712">
        <v>4392</v>
      </c>
      <c r="AN41" s="823"/>
      <c r="AO41" s="823"/>
      <c r="AP41" s="823"/>
      <c r="AQ41" s="823"/>
      <c r="AR41" s="823"/>
      <c r="AS41" s="823"/>
      <c r="AT41" s="823"/>
      <c r="AU41" s="823"/>
      <c r="AV41" s="823"/>
      <c r="AW41" s="823"/>
      <c r="AX41" s="823"/>
      <c r="AY41" s="712">
        <v>4443</v>
      </c>
      <c r="AZ41" s="823"/>
      <c r="BA41" s="823"/>
      <c r="BB41" s="823"/>
      <c r="BC41" s="823"/>
      <c r="BD41" s="823"/>
      <c r="BE41" s="823"/>
      <c r="BF41" s="823"/>
      <c r="BG41" s="823"/>
      <c r="BH41" s="823"/>
      <c r="BI41" s="823"/>
      <c r="BJ41" s="823"/>
      <c r="BK41" s="354"/>
    </row>
    <row r="42" spans="2:63" ht="12" customHeight="1">
      <c r="G42" s="380">
        <v>30</v>
      </c>
      <c r="H42" s="380"/>
      <c r="I42" s="380"/>
      <c r="M42" s="22"/>
      <c r="N42" s="723">
        <f t="shared" si="1"/>
        <v>12763</v>
      </c>
      <c r="O42" s="825"/>
      <c r="P42" s="825"/>
      <c r="Q42" s="825"/>
      <c r="R42" s="825"/>
      <c r="S42" s="825"/>
      <c r="T42" s="825"/>
      <c r="U42" s="825"/>
      <c r="V42" s="825"/>
      <c r="W42" s="825"/>
      <c r="X42" s="825"/>
      <c r="Y42" s="825"/>
      <c r="Z42" s="825"/>
      <c r="AA42" s="712">
        <v>4124</v>
      </c>
      <c r="AB42" s="823"/>
      <c r="AC42" s="823"/>
      <c r="AD42" s="823"/>
      <c r="AE42" s="823"/>
      <c r="AF42" s="823"/>
      <c r="AG42" s="823"/>
      <c r="AH42" s="823"/>
      <c r="AI42" s="823"/>
      <c r="AJ42" s="823"/>
      <c r="AK42" s="823"/>
      <c r="AL42" s="823"/>
      <c r="AM42" s="712">
        <v>4238</v>
      </c>
      <c r="AN42" s="823"/>
      <c r="AO42" s="823"/>
      <c r="AP42" s="823"/>
      <c r="AQ42" s="823"/>
      <c r="AR42" s="823"/>
      <c r="AS42" s="823"/>
      <c r="AT42" s="823"/>
      <c r="AU42" s="823"/>
      <c r="AV42" s="823"/>
      <c r="AW42" s="823"/>
      <c r="AX42" s="823"/>
      <c r="AY42" s="712">
        <v>4401</v>
      </c>
      <c r="AZ42" s="823"/>
      <c r="BA42" s="823"/>
      <c r="BB42" s="823"/>
      <c r="BC42" s="823"/>
      <c r="BD42" s="823"/>
      <c r="BE42" s="823"/>
      <c r="BF42" s="823"/>
      <c r="BG42" s="823"/>
      <c r="BH42" s="823"/>
      <c r="BI42" s="823"/>
      <c r="BJ42" s="823"/>
      <c r="BK42" s="354"/>
    </row>
    <row r="43" spans="2:63" ht="8.1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2:63" ht="11.1" customHeight="1">
      <c r="C44" s="400" t="s">
        <v>8</v>
      </c>
      <c r="D44" s="400"/>
      <c r="E44" s="297" t="s">
        <v>470</v>
      </c>
      <c r="F44" s="2" t="s">
        <v>798</v>
      </c>
    </row>
    <row r="45" spans="2:63" ht="11.1" customHeight="1">
      <c r="B45" s="404" t="s">
        <v>9</v>
      </c>
      <c r="C45" s="404"/>
      <c r="D45" s="404"/>
      <c r="E45" s="297" t="s">
        <v>470</v>
      </c>
      <c r="F45" s="2" t="s">
        <v>797</v>
      </c>
    </row>
    <row r="46" spans="2:63" ht="11.1" customHeight="1"/>
    <row r="47" spans="2:63" ht="15.95" customHeight="1">
      <c r="B47" s="379" t="s">
        <v>796</v>
      </c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379"/>
      <c r="AQ47" s="379"/>
      <c r="AR47" s="379"/>
      <c r="AS47" s="379"/>
      <c r="AT47" s="379"/>
      <c r="AU47" s="379"/>
      <c r="AV47" s="379"/>
      <c r="AW47" s="379"/>
      <c r="AX47" s="379"/>
      <c r="AY47" s="379"/>
      <c r="AZ47" s="379"/>
      <c r="BA47" s="379"/>
      <c r="BB47" s="379"/>
      <c r="BC47" s="379"/>
      <c r="BD47" s="379"/>
      <c r="BE47" s="379"/>
      <c r="BF47" s="379"/>
      <c r="BG47" s="379"/>
      <c r="BH47" s="379"/>
      <c r="BI47" s="379"/>
      <c r="BJ47" s="379"/>
    </row>
    <row r="48" spans="2:63" ht="12" customHeight="1">
      <c r="B48" s="380" t="s">
        <v>756</v>
      </c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80"/>
      <c r="AG48" s="380"/>
      <c r="AH48" s="380"/>
      <c r="AI48" s="380"/>
      <c r="AJ48" s="380"/>
      <c r="AK48" s="380"/>
      <c r="AL48" s="380"/>
      <c r="AM48" s="380"/>
      <c r="AN48" s="380"/>
      <c r="AO48" s="380"/>
      <c r="AP48" s="380"/>
      <c r="AQ48" s="380"/>
      <c r="AR48" s="380"/>
      <c r="AS48" s="380"/>
      <c r="AT48" s="380"/>
      <c r="AU48" s="380"/>
      <c r="AV48" s="380"/>
      <c r="AW48" s="380"/>
      <c r="AX48" s="380"/>
      <c r="AY48" s="380"/>
      <c r="AZ48" s="380"/>
      <c r="BA48" s="380"/>
      <c r="BB48" s="380"/>
      <c r="BC48" s="380"/>
      <c r="BD48" s="380"/>
      <c r="BE48" s="380"/>
      <c r="BF48" s="380"/>
      <c r="BG48" s="380"/>
      <c r="BH48" s="380"/>
      <c r="BI48" s="380"/>
      <c r="BJ48" s="380"/>
    </row>
    <row r="49" spans="2:62" ht="11.1" customHeight="1">
      <c r="BJ49" s="20" t="s">
        <v>654</v>
      </c>
    </row>
    <row r="50" spans="2:62" ht="13.5" customHeight="1">
      <c r="B50" s="411" t="s">
        <v>424</v>
      </c>
      <c r="C50" s="752"/>
      <c r="D50" s="752"/>
      <c r="E50" s="752"/>
      <c r="F50" s="752"/>
      <c r="G50" s="752"/>
      <c r="H50" s="752"/>
      <c r="I50" s="752"/>
      <c r="J50" s="752"/>
      <c r="K50" s="752"/>
      <c r="L50" s="752"/>
      <c r="M50" s="386" t="s">
        <v>676</v>
      </c>
      <c r="N50" s="752"/>
      <c r="O50" s="752"/>
      <c r="P50" s="752"/>
      <c r="Q50" s="752"/>
      <c r="R50" s="752"/>
      <c r="S50" s="752"/>
      <c r="T50" s="752"/>
      <c r="U50" s="752"/>
      <c r="V50" s="752"/>
      <c r="W50" s="386" t="s">
        <v>793</v>
      </c>
      <c r="X50" s="752"/>
      <c r="Y50" s="752"/>
      <c r="Z50" s="752"/>
      <c r="AA50" s="752"/>
      <c r="AB50" s="752"/>
      <c r="AC50" s="752"/>
      <c r="AD50" s="752"/>
      <c r="AE50" s="752"/>
      <c r="AF50" s="752"/>
      <c r="AG50" s="386" t="s">
        <v>792</v>
      </c>
      <c r="AH50" s="752"/>
      <c r="AI50" s="752"/>
      <c r="AJ50" s="752"/>
      <c r="AK50" s="752"/>
      <c r="AL50" s="752"/>
      <c r="AM50" s="752"/>
      <c r="AN50" s="752"/>
      <c r="AO50" s="752"/>
      <c r="AP50" s="752"/>
      <c r="AQ50" s="386" t="s">
        <v>791</v>
      </c>
      <c r="AR50" s="752"/>
      <c r="AS50" s="752"/>
      <c r="AT50" s="752"/>
      <c r="AU50" s="752"/>
      <c r="AV50" s="752"/>
      <c r="AW50" s="752"/>
      <c r="AX50" s="752"/>
      <c r="AY50" s="752"/>
      <c r="AZ50" s="752"/>
      <c r="BA50" s="386" t="s">
        <v>790</v>
      </c>
      <c r="BB50" s="752"/>
      <c r="BC50" s="752"/>
      <c r="BD50" s="752"/>
      <c r="BE50" s="752"/>
      <c r="BF50" s="752"/>
      <c r="BG50" s="752"/>
      <c r="BH50" s="752"/>
      <c r="BI50" s="752"/>
      <c r="BJ50" s="755"/>
    </row>
    <row r="51" spans="2:62" ht="11.1" customHeight="1">
      <c r="L51" s="21"/>
      <c r="AE51" s="842" t="s">
        <v>777</v>
      </c>
      <c r="AF51" s="843"/>
      <c r="AO51" s="842" t="s">
        <v>777</v>
      </c>
      <c r="AP51" s="843"/>
      <c r="AY51" s="842" t="s">
        <v>777</v>
      </c>
      <c r="AZ51" s="843"/>
      <c r="BI51" s="842" t="s">
        <v>777</v>
      </c>
      <c r="BJ51" s="843"/>
    </row>
    <row r="52" spans="2:62" ht="12" customHeight="1">
      <c r="C52" s="389" t="s">
        <v>7</v>
      </c>
      <c r="D52" s="389"/>
      <c r="E52" s="389"/>
      <c r="F52" s="380">
        <v>21</v>
      </c>
      <c r="G52" s="380"/>
      <c r="H52" s="380"/>
      <c r="I52" s="380" t="s">
        <v>438</v>
      </c>
      <c r="J52" s="380"/>
      <c r="K52" s="380"/>
      <c r="L52" s="22"/>
      <c r="M52" s="851">
        <v>69</v>
      </c>
      <c r="N52" s="823"/>
      <c r="O52" s="823"/>
      <c r="P52" s="823"/>
      <c r="Q52" s="823"/>
      <c r="R52" s="823"/>
      <c r="S52" s="823"/>
      <c r="T52" s="823"/>
      <c r="U52" s="823"/>
      <c r="V52" s="823"/>
      <c r="W52" s="823">
        <v>835042</v>
      </c>
      <c r="X52" s="823"/>
      <c r="Y52" s="823"/>
      <c r="Z52" s="823"/>
      <c r="AA52" s="823"/>
      <c r="AB52" s="823"/>
      <c r="AC52" s="823"/>
      <c r="AD52" s="823"/>
      <c r="AE52" s="823"/>
      <c r="AF52" s="823"/>
      <c r="AG52" s="823">
        <v>343924</v>
      </c>
      <c r="AH52" s="823"/>
      <c r="AI52" s="823"/>
      <c r="AJ52" s="823"/>
      <c r="AK52" s="823"/>
      <c r="AL52" s="823"/>
      <c r="AM52" s="823"/>
      <c r="AN52" s="823"/>
      <c r="AO52" s="823"/>
      <c r="AP52" s="823"/>
      <c r="AQ52" s="823">
        <v>451025</v>
      </c>
      <c r="AR52" s="823"/>
      <c r="AS52" s="823"/>
      <c r="AT52" s="823"/>
      <c r="AU52" s="823"/>
      <c r="AV52" s="823"/>
      <c r="AW52" s="823"/>
      <c r="AX52" s="823"/>
      <c r="AY52" s="823"/>
      <c r="AZ52" s="823"/>
      <c r="BA52" s="823">
        <v>55939</v>
      </c>
      <c r="BB52" s="823"/>
      <c r="BC52" s="823"/>
      <c r="BD52" s="823"/>
      <c r="BE52" s="823"/>
      <c r="BF52" s="823"/>
      <c r="BG52" s="823"/>
      <c r="BH52" s="823"/>
      <c r="BI52" s="823"/>
      <c r="BJ52" s="823"/>
    </row>
    <row r="53" spans="2:62" ht="12" customHeight="1">
      <c r="F53" s="380">
        <v>22</v>
      </c>
      <c r="G53" s="380"/>
      <c r="H53" s="380"/>
      <c r="L53" s="22"/>
      <c r="M53" s="851">
        <v>65</v>
      </c>
      <c r="N53" s="823"/>
      <c r="O53" s="823"/>
      <c r="P53" s="823"/>
      <c r="Q53" s="823"/>
      <c r="R53" s="823"/>
      <c r="S53" s="823"/>
      <c r="T53" s="823"/>
      <c r="U53" s="823"/>
      <c r="V53" s="823"/>
      <c r="W53" s="823">
        <v>803355</v>
      </c>
      <c r="X53" s="823"/>
      <c r="Y53" s="823"/>
      <c r="Z53" s="823"/>
      <c r="AA53" s="823"/>
      <c r="AB53" s="823"/>
      <c r="AC53" s="823"/>
      <c r="AD53" s="823"/>
      <c r="AE53" s="823"/>
      <c r="AF53" s="823"/>
      <c r="AG53" s="823">
        <v>327677</v>
      </c>
      <c r="AH53" s="823"/>
      <c r="AI53" s="823"/>
      <c r="AJ53" s="823"/>
      <c r="AK53" s="823"/>
      <c r="AL53" s="823"/>
      <c r="AM53" s="823"/>
      <c r="AN53" s="823"/>
      <c r="AO53" s="823"/>
      <c r="AP53" s="823"/>
      <c r="AQ53" s="823">
        <v>431161</v>
      </c>
      <c r="AR53" s="823"/>
      <c r="AS53" s="823"/>
      <c r="AT53" s="823"/>
      <c r="AU53" s="823"/>
      <c r="AV53" s="823"/>
      <c r="AW53" s="823"/>
      <c r="AX53" s="823"/>
      <c r="AY53" s="823"/>
      <c r="AZ53" s="823"/>
      <c r="BA53" s="823">
        <v>53282</v>
      </c>
      <c r="BB53" s="823"/>
      <c r="BC53" s="823"/>
      <c r="BD53" s="823"/>
      <c r="BE53" s="823"/>
      <c r="BF53" s="823"/>
      <c r="BG53" s="823"/>
      <c r="BH53" s="823"/>
      <c r="BI53" s="823"/>
      <c r="BJ53" s="823"/>
    </row>
    <row r="54" spans="2:62" ht="12" customHeight="1">
      <c r="F54" s="380">
        <v>23</v>
      </c>
      <c r="G54" s="380"/>
      <c r="H54" s="380"/>
      <c r="L54" s="22"/>
      <c r="M54" s="851">
        <v>65</v>
      </c>
      <c r="N54" s="823"/>
      <c r="O54" s="823"/>
      <c r="P54" s="823"/>
      <c r="Q54" s="823"/>
      <c r="R54" s="823"/>
      <c r="S54" s="823"/>
      <c r="T54" s="823"/>
      <c r="U54" s="823"/>
      <c r="V54" s="823"/>
      <c r="W54" s="823">
        <v>787952</v>
      </c>
      <c r="X54" s="823"/>
      <c r="Y54" s="823"/>
      <c r="Z54" s="823"/>
      <c r="AA54" s="823"/>
      <c r="AB54" s="823"/>
      <c r="AC54" s="823"/>
      <c r="AD54" s="823"/>
      <c r="AE54" s="823"/>
      <c r="AF54" s="823"/>
      <c r="AG54" s="823">
        <v>326083</v>
      </c>
      <c r="AH54" s="823"/>
      <c r="AI54" s="823"/>
      <c r="AJ54" s="823"/>
      <c r="AK54" s="823"/>
      <c r="AL54" s="823"/>
      <c r="AM54" s="823"/>
      <c r="AN54" s="823"/>
      <c r="AO54" s="823"/>
      <c r="AP54" s="823"/>
      <c r="AQ54" s="823">
        <v>426707</v>
      </c>
      <c r="AR54" s="823"/>
      <c r="AS54" s="823"/>
      <c r="AT54" s="823"/>
      <c r="AU54" s="823"/>
      <c r="AV54" s="823"/>
      <c r="AW54" s="823"/>
      <c r="AX54" s="823"/>
      <c r="AY54" s="823"/>
      <c r="AZ54" s="823"/>
      <c r="BA54" s="823">
        <v>52770</v>
      </c>
      <c r="BB54" s="823"/>
      <c r="BC54" s="823"/>
      <c r="BD54" s="823"/>
      <c r="BE54" s="823"/>
      <c r="BF54" s="823"/>
      <c r="BG54" s="823"/>
      <c r="BH54" s="823"/>
      <c r="BI54" s="823"/>
      <c r="BJ54" s="823"/>
    </row>
    <row r="55" spans="2:62" ht="12" customHeight="1">
      <c r="F55" s="380">
        <v>24</v>
      </c>
      <c r="G55" s="380"/>
      <c r="H55" s="380"/>
      <c r="L55" s="22"/>
      <c r="M55" s="851">
        <v>65</v>
      </c>
      <c r="N55" s="823"/>
      <c r="O55" s="823"/>
      <c r="P55" s="823"/>
      <c r="Q55" s="823"/>
      <c r="R55" s="823"/>
      <c r="S55" s="823"/>
      <c r="T55" s="823"/>
      <c r="U55" s="823"/>
      <c r="V55" s="823"/>
      <c r="W55" s="823">
        <v>788372</v>
      </c>
      <c r="X55" s="823"/>
      <c r="Y55" s="823"/>
      <c r="Z55" s="823"/>
      <c r="AA55" s="823"/>
      <c r="AB55" s="823"/>
      <c r="AC55" s="823"/>
      <c r="AD55" s="823"/>
      <c r="AE55" s="823"/>
      <c r="AF55" s="823"/>
      <c r="AG55" s="823">
        <v>333119</v>
      </c>
      <c r="AH55" s="823"/>
      <c r="AI55" s="823"/>
      <c r="AJ55" s="823"/>
      <c r="AK55" s="823"/>
      <c r="AL55" s="823"/>
      <c r="AM55" s="823"/>
      <c r="AN55" s="823"/>
      <c r="AO55" s="823"/>
      <c r="AP55" s="823"/>
      <c r="AQ55" s="823">
        <v>427168</v>
      </c>
      <c r="AR55" s="823"/>
      <c r="AS55" s="823"/>
      <c r="AT55" s="823"/>
      <c r="AU55" s="823"/>
      <c r="AV55" s="823"/>
      <c r="AW55" s="823"/>
      <c r="AX55" s="823"/>
      <c r="AY55" s="823"/>
      <c r="AZ55" s="823"/>
      <c r="BA55" s="823">
        <v>52773</v>
      </c>
      <c r="BB55" s="823"/>
      <c r="BC55" s="823"/>
      <c r="BD55" s="823"/>
      <c r="BE55" s="823"/>
      <c r="BF55" s="823"/>
      <c r="BG55" s="823"/>
      <c r="BH55" s="823"/>
      <c r="BI55" s="823"/>
      <c r="BJ55" s="823"/>
    </row>
    <row r="56" spans="2:62" ht="12" customHeight="1">
      <c r="F56" s="392">
        <v>25</v>
      </c>
      <c r="G56" s="392"/>
      <c r="H56" s="392"/>
      <c r="L56" s="22"/>
      <c r="M56" s="849">
        <v>65</v>
      </c>
      <c r="N56" s="825"/>
      <c r="O56" s="825"/>
      <c r="P56" s="825"/>
      <c r="Q56" s="825"/>
      <c r="R56" s="825"/>
      <c r="S56" s="825"/>
      <c r="T56" s="825"/>
      <c r="U56" s="825"/>
      <c r="V56" s="825"/>
      <c r="W56" s="825">
        <v>789586</v>
      </c>
      <c r="X56" s="825"/>
      <c r="Y56" s="825"/>
      <c r="Z56" s="825"/>
      <c r="AA56" s="825"/>
      <c r="AB56" s="825"/>
      <c r="AC56" s="825"/>
      <c r="AD56" s="825"/>
      <c r="AE56" s="825"/>
      <c r="AF56" s="825"/>
      <c r="AG56" s="825">
        <v>331114</v>
      </c>
      <c r="AH56" s="825"/>
      <c r="AI56" s="825"/>
      <c r="AJ56" s="825"/>
      <c r="AK56" s="825"/>
      <c r="AL56" s="825"/>
      <c r="AM56" s="825"/>
      <c r="AN56" s="825"/>
      <c r="AO56" s="825"/>
      <c r="AP56" s="825"/>
      <c r="AQ56" s="825">
        <v>420992</v>
      </c>
      <c r="AR56" s="825"/>
      <c r="AS56" s="825"/>
      <c r="AT56" s="825"/>
      <c r="AU56" s="825"/>
      <c r="AV56" s="825"/>
      <c r="AW56" s="825"/>
      <c r="AX56" s="825"/>
      <c r="AY56" s="825"/>
      <c r="AZ56" s="825"/>
      <c r="BA56" s="825">
        <v>54400</v>
      </c>
      <c r="BB56" s="825"/>
      <c r="BC56" s="825"/>
      <c r="BD56" s="825"/>
      <c r="BE56" s="825"/>
      <c r="BF56" s="825"/>
      <c r="BG56" s="825"/>
      <c r="BH56" s="825"/>
      <c r="BI56" s="825"/>
      <c r="BJ56" s="825"/>
    </row>
    <row r="57" spans="2:62" ht="8.1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2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2:62" ht="11.1" customHeight="1">
      <c r="B58" s="410" t="s">
        <v>9</v>
      </c>
      <c r="C58" s="410"/>
      <c r="D58" s="410"/>
      <c r="E58" s="297" t="s">
        <v>470</v>
      </c>
      <c r="F58" s="2" t="s">
        <v>787</v>
      </c>
    </row>
    <row r="59" spans="2:62" ht="11.1" customHeight="1"/>
    <row r="60" spans="2:62" ht="12" customHeight="1">
      <c r="B60" s="380" t="s">
        <v>778</v>
      </c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380"/>
      <c r="N60" s="380"/>
      <c r="O60" s="380"/>
      <c r="P60" s="380"/>
      <c r="Q60" s="380"/>
      <c r="R60" s="380"/>
      <c r="S60" s="380"/>
      <c r="T60" s="380"/>
      <c r="U60" s="380"/>
      <c r="V60" s="380"/>
      <c r="W60" s="380"/>
      <c r="X60" s="380"/>
      <c r="Y60" s="380"/>
      <c r="Z60" s="380"/>
      <c r="AA60" s="380"/>
      <c r="AB60" s="380"/>
      <c r="AC60" s="380"/>
      <c r="AD60" s="380"/>
      <c r="AE60" s="380"/>
      <c r="AF60" s="380"/>
      <c r="AG60" s="380"/>
      <c r="AH60" s="380"/>
      <c r="AI60" s="380"/>
      <c r="AJ60" s="380"/>
      <c r="AK60" s="380"/>
      <c r="AL60" s="380"/>
      <c r="AM60" s="380"/>
      <c r="AN60" s="380"/>
      <c r="AO60" s="380"/>
      <c r="AP60" s="380"/>
      <c r="AQ60" s="380"/>
      <c r="AR60" s="380"/>
      <c r="AS60" s="380"/>
      <c r="AT60" s="380"/>
      <c r="AU60" s="380"/>
      <c r="AV60" s="380"/>
      <c r="AW60" s="380"/>
      <c r="AX60" s="380"/>
      <c r="AY60" s="380"/>
      <c r="AZ60" s="380"/>
      <c r="BA60" s="380"/>
      <c r="BB60" s="380"/>
      <c r="BC60" s="380"/>
      <c r="BD60" s="380"/>
      <c r="BE60" s="380"/>
      <c r="BF60" s="380"/>
      <c r="BG60" s="380"/>
      <c r="BH60" s="380"/>
      <c r="BI60" s="380"/>
      <c r="BJ60" s="380"/>
    </row>
    <row r="61" spans="2:62" ht="11.1" customHeight="1">
      <c r="BJ61" s="20" t="s">
        <v>654</v>
      </c>
    </row>
    <row r="62" spans="2:62" ht="13.5" customHeight="1">
      <c r="B62" s="411" t="s">
        <v>424</v>
      </c>
      <c r="C62" s="752"/>
      <c r="D62" s="752"/>
      <c r="E62" s="752"/>
      <c r="F62" s="752"/>
      <c r="G62" s="752"/>
      <c r="H62" s="752"/>
      <c r="I62" s="752"/>
      <c r="J62" s="752"/>
      <c r="K62" s="752"/>
      <c r="L62" s="752"/>
      <c r="M62" s="386" t="s">
        <v>676</v>
      </c>
      <c r="N62" s="752"/>
      <c r="O62" s="752"/>
      <c r="P62" s="752"/>
      <c r="Q62" s="752"/>
      <c r="R62" s="752"/>
      <c r="S62" s="752"/>
      <c r="T62" s="752"/>
      <c r="U62" s="752"/>
      <c r="V62" s="752"/>
      <c r="W62" s="386" t="s">
        <v>793</v>
      </c>
      <c r="X62" s="752"/>
      <c r="Y62" s="752"/>
      <c r="Z62" s="752"/>
      <c r="AA62" s="752"/>
      <c r="AB62" s="752"/>
      <c r="AC62" s="752"/>
      <c r="AD62" s="752"/>
      <c r="AE62" s="752"/>
      <c r="AF62" s="752"/>
      <c r="AG62" s="386" t="s">
        <v>792</v>
      </c>
      <c r="AH62" s="752"/>
      <c r="AI62" s="752"/>
      <c r="AJ62" s="752"/>
      <c r="AK62" s="752"/>
      <c r="AL62" s="752"/>
      <c r="AM62" s="752"/>
      <c r="AN62" s="752"/>
      <c r="AO62" s="752"/>
      <c r="AP62" s="752"/>
      <c r="AQ62" s="386" t="s">
        <v>791</v>
      </c>
      <c r="AR62" s="752"/>
      <c r="AS62" s="752"/>
      <c r="AT62" s="752"/>
      <c r="AU62" s="752"/>
      <c r="AV62" s="752"/>
      <c r="AW62" s="752"/>
      <c r="AX62" s="752"/>
      <c r="AY62" s="752"/>
      <c r="AZ62" s="752"/>
      <c r="BA62" s="386" t="s">
        <v>790</v>
      </c>
      <c r="BB62" s="752"/>
      <c r="BC62" s="752"/>
      <c r="BD62" s="752"/>
      <c r="BE62" s="752"/>
      <c r="BF62" s="752"/>
      <c r="BG62" s="752"/>
      <c r="BH62" s="752"/>
      <c r="BI62" s="752"/>
      <c r="BJ62" s="755"/>
    </row>
    <row r="63" spans="2:62" ht="11.1" customHeight="1">
      <c r="L63" s="21"/>
      <c r="AE63" s="842" t="s">
        <v>777</v>
      </c>
      <c r="AF63" s="843"/>
      <c r="AO63" s="842" t="s">
        <v>777</v>
      </c>
      <c r="AP63" s="843"/>
      <c r="AY63" s="842" t="s">
        <v>777</v>
      </c>
      <c r="AZ63" s="843"/>
      <c r="BI63" s="842" t="s">
        <v>777</v>
      </c>
      <c r="BJ63" s="843"/>
    </row>
    <row r="64" spans="2:62" ht="12" customHeight="1">
      <c r="C64" s="389" t="s">
        <v>7</v>
      </c>
      <c r="D64" s="389"/>
      <c r="E64" s="389"/>
      <c r="F64" s="380">
        <v>21</v>
      </c>
      <c r="G64" s="380"/>
      <c r="H64" s="380"/>
      <c r="I64" s="380" t="s">
        <v>438</v>
      </c>
      <c r="J64" s="380"/>
      <c r="K64" s="380"/>
      <c r="L64" s="22"/>
      <c r="M64" s="851">
        <v>34</v>
      </c>
      <c r="N64" s="851"/>
      <c r="O64" s="851"/>
      <c r="P64" s="851"/>
      <c r="Q64" s="851"/>
      <c r="R64" s="851"/>
      <c r="S64" s="851"/>
      <c r="T64" s="851"/>
      <c r="U64" s="851"/>
      <c r="V64" s="851"/>
      <c r="W64" s="823">
        <v>532637</v>
      </c>
      <c r="X64" s="823"/>
      <c r="Y64" s="823"/>
      <c r="Z64" s="823"/>
      <c r="AA64" s="823"/>
      <c r="AB64" s="823"/>
      <c r="AC64" s="823"/>
      <c r="AD64" s="823"/>
      <c r="AE64" s="823"/>
      <c r="AF64" s="823"/>
      <c r="AG64" s="823">
        <v>188188</v>
      </c>
      <c r="AH64" s="823"/>
      <c r="AI64" s="823"/>
      <c r="AJ64" s="823"/>
      <c r="AK64" s="823"/>
      <c r="AL64" s="823"/>
      <c r="AM64" s="823"/>
      <c r="AN64" s="823"/>
      <c r="AO64" s="823"/>
      <c r="AP64" s="823"/>
      <c r="AQ64" s="823">
        <v>309321</v>
      </c>
      <c r="AR64" s="823"/>
      <c r="AS64" s="823"/>
      <c r="AT64" s="823"/>
      <c r="AU64" s="823"/>
      <c r="AV64" s="823"/>
      <c r="AW64" s="823"/>
      <c r="AX64" s="823"/>
      <c r="AY64" s="823"/>
      <c r="AZ64" s="823"/>
      <c r="BA64" s="823">
        <v>33649</v>
      </c>
      <c r="BB64" s="823"/>
      <c r="BC64" s="823"/>
      <c r="BD64" s="823"/>
      <c r="BE64" s="823"/>
      <c r="BF64" s="823"/>
      <c r="BG64" s="823"/>
      <c r="BH64" s="823"/>
      <c r="BI64" s="823"/>
      <c r="BJ64" s="823"/>
    </row>
    <row r="65" spans="2:62" ht="12" customHeight="1">
      <c r="F65" s="380">
        <v>22</v>
      </c>
      <c r="G65" s="380"/>
      <c r="H65" s="380"/>
      <c r="L65" s="22"/>
      <c r="M65" s="851">
        <v>34</v>
      </c>
      <c r="N65" s="851"/>
      <c r="O65" s="851"/>
      <c r="P65" s="851"/>
      <c r="Q65" s="851"/>
      <c r="R65" s="851"/>
      <c r="S65" s="851"/>
      <c r="T65" s="851"/>
      <c r="U65" s="851"/>
      <c r="V65" s="851"/>
      <c r="W65" s="823">
        <v>538370</v>
      </c>
      <c r="X65" s="823"/>
      <c r="Y65" s="823"/>
      <c r="Z65" s="823"/>
      <c r="AA65" s="823"/>
      <c r="AB65" s="823"/>
      <c r="AC65" s="823"/>
      <c r="AD65" s="823"/>
      <c r="AE65" s="823"/>
      <c r="AF65" s="823"/>
      <c r="AG65" s="823">
        <v>188839</v>
      </c>
      <c r="AH65" s="823"/>
      <c r="AI65" s="823"/>
      <c r="AJ65" s="823"/>
      <c r="AK65" s="823"/>
      <c r="AL65" s="823"/>
      <c r="AM65" s="823"/>
      <c r="AN65" s="823"/>
      <c r="AO65" s="823"/>
      <c r="AP65" s="823"/>
      <c r="AQ65" s="823">
        <v>310026</v>
      </c>
      <c r="AR65" s="823"/>
      <c r="AS65" s="823"/>
      <c r="AT65" s="823"/>
      <c r="AU65" s="823"/>
      <c r="AV65" s="823"/>
      <c r="AW65" s="823"/>
      <c r="AX65" s="823"/>
      <c r="AY65" s="823"/>
      <c r="AZ65" s="823"/>
      <c r="BA65" s="823">
        <v>34320</v>
      </c>
      <c r="BB65" s="823"/>
      <c r="BC65" s="823"/>
      <c r="BD65" s="823"/>
      <c r="BE65" s="823"/>
      <c r="BF65" s="823"/>
      <c r="BG65" s="823"/>
      <c r="BH65" s="823"/>
      <c r="BI65" s="823"/>
      <c r="BJ65" s="823"/>
    </row>
    <row r="66" spans="2:62" ht="12" customHeight="1">
      <c r="F66" s="380">
        <v>23</v>
      </c>
      <c r="G66" s="380"/>
      <c r="H66" s="380"/>
      <c r="L66" s="22"/>
      <c r="M66" s="851">
        <v>34</v>
      </c>
      <c r="N66" s="851"/>
      <c r="O66" s="851"/>
      <c r="P66" s="851"/>
      <c r="Q66" s="851"/>
      <c r="R66" s="851"/>
      <c r="S66" s="851"/>
      <c r="T66" s="851"/>
      <c r="U66" s="851"/>
      <c r="V66" s="851"/>
      <c r="W66" s="823">
        <v>537492</v>
      </c>
      <c r="X66" s="823"/>
      <c r="Y66" s="823"/>
      <c r="Z66" s="823"/>
      <c r="AA66" s="823"/>
      <c r="AB66" s="823"/>
      <c r="AC66" s="823"/>
      <c r="AD66" s="823"/>
      <c r="AE66" s="823"/>
      <c r="AF66" s="823"/>
      <c r="AG66" s="823">
        <v>188328</v>
      </c>
      <c r="AH66" s="823"/>
      <c r="AI66" s="823"/>
      <c r="AJ66" s="823"/>
      <c r="AK66" s="823"/>
      <c r="AL66" s="823"/>
      <c r="AM66" s="823"/>
      <c r="AN66" s="823"/>
      <c r="AO66" s="823"/>
      <c r="AP66" s="823"/>
      <c r="AQ66" s="823">
        <v>310367</v>
      </c>
      <c r="AR66" s="823"/>
      <c r="AS66" s="823"/>
      <c r="AT66" s="823"/>
      <c r="AU66" s="823"/>
      <c r="AV66" s="823"/>
      <c r="AW66" s="823"/>
      <c r="AX66" s="823"/>
      <c r="AY66" s="823"/>
      <c r="AZ66" s="823"/>
      <c r="BA66" s="823">
        <v>34320</v>
      </c>
      <c r="BB66" s="823"/>
      <c r="BC66" s="823"/>
      <c r="BD66" s="823"/>
      <c r="BE66" s="823"/>
      <c r="BF66" s="823"/>
      <c r="BG66" s="823"/>
      <c r="BH66" s="823"/>
      <c r="BI66" s="823"/>
      <c r="BJ66" s="823"/>
    </row>
    <row r="67" spans="2:62" ht="12" customHeight="1">
      <c r="F67" s="380">
        <v>24</v>
      </c>
      <c r="G67" s="380"/>
      <c r="H67" s="380"/>
      <c r="L67" s="22"/>
      <c r="M67" s="851">
        <v>34</v>
      </c>
      <c r="N67" s="851"/>
      <c r="O67" s="851"/>
      <c r="P67" s="851"/>
      <c r="Q67" s="851"/>
      <c r="R67" s="851"/>
      <c r="S67" s="851"/>
      <c r="T67" s="851"/>
      <c r="U67" s="851"/>
      <c r="V67" s="851"/>
      <c r="W67" s="823">
        <v>537654</v>
      </c>
      <c r="X67" s="823"/>
      <c r="Y67" s="823"/>
      <c r="Z67" s="823"/>
      <c r="AA67" s="823"/>
      <c r="AB67" s="823"/>
      <c r="AC67" s="823"/>
      <c r="AD67" s="823"/>
      <c r="AE67" s="823"/>
      <c r="AF67" s="823"/>
      <c r="AG67" s="823">
        <v>188264</v>
      </c>
      <c r="AH67" s="823"/>
      <c r="AI67" s="823"/>
      <c r="AJ67" s="823"/>
      <c r="AK67" s="823"/>
      <c r="AL67" s="823"/>
      <c r="AM67" s="823"/>
      <c r="AN67" s="823"/>
      <c r="AO67" s="823"/>
      <c r="AP67" s="823"/>
      <c r="AQ67" s="823">
        <v>310367</v>
      </c>
      <c r="AR67" s="823"/>
      <c r="AS67" s="823"/>
      <c r="AT67" s="823"/>
      <c r="AU67" s="823"/>
      <c r="AV67" s="823"/>
      <c r="AW67" s="823"/>
      <c r="AX67" s="823"/>
      <c r="AY67" s="823"/>
      <c r="AZ67" s="823"/>
      <c r="BA67" s="823">
        <v>34320</v>
      </c>
      <c r="BB67" s="823"/>
      <c r="BC67" s="823"/>
      <c r="BD67" s="823"/>
      <c r="BE67" s="823"/>
      <c r="BF67" s="823"/>
      <c r="BG67" s="823"/>
      <c r="BH67" s="823"/>
      <c r="BI67" s="823"/>
      <c r="BJ67" s="823"/>
    </row>
    <row r="68" spans="2:62" ht="12" customHeight="1">
      <c r="F68" s="392">
        <v>25</v>
      </c>
      <c r="G68" s="392"/>
      <c r="H68" s="392"/>
      <c r="L68" s="22"/>
      <c r="M68" s="849">
        <v>34</v>
      </c>
      <c r="N68" s="849"/>
      <c r="O68" s="849"/>
      <c r="P68" s="849"/>
      <c r="Q68" s="849"/>
      <c r="R68" s="849"/>
      <c r="S68" s="849"/>
      <c r="T68" s="849"/>
      <c r="U68" s="849"/>
      <c r="V68" s="849"/>
      <c r="W68" s="825">
        <v>538155</v>
      </c>
      <c r="X68" s="825"/>
      <c r="Y68" s="825"/>
      <c r="Z68" s="825"/>
      <c r="AA68" s="825"/>
      <c r="AB68" s="825"/>
      <c r="AC68" s="825"/>
      <c r="AD68" s="825"/>
      <c r="AE68" s="825"/>
      <c r="AF68" s="825"/>
      <c r="AG68" s="825">
        <v>188236</v>
      </c>
      <c r="AH68" s="825"/>
      <c r="AI68" s="825"/>
      <c r="AJ68" s="825"/>
      <c r="AK68" s="825"/>
      <c r="AL68" s="825"/>
      <c r="AM68" s="825"/>
      <c r="AN68" s="825"/>
      <c r="AO68" s="825"/>
      <c r="AP68" s="825"/>
      <c r="AQ68" s="825">
        <v>310367</v>
      </c>
      <c r="AR68" s="825"/>
      <c r="AS68" s="825"/>
      <c r="AT68" s="825"/>
      <c r="AU68" s="825"/>
      <c r="AV68" s="825"/>
      <c r="AW68" s="825"/>
      <c r="AX68" s="825"/>
      <c r="AY68" s="825"/>
      <c r="AZ68" s="825"/>
      <c r="BA68" s="825">
        <v>34320</v>
      </c>
      <c r="BB68" s="825"/>
      <c r="BC68" s="825"/>
      <c r="BD68" s="825"/>
      <c r="BE68" s="825"/>
      <c r="BF68" s="825"/>
      <c r="BG68" s="825"/>
      <c r="BH68" s="825"/>
      <c r="BI68" s="825"/>
      <c r="BJ68" s="825"/>
    </row>
    <row r="69" spans="2:62" ht="8.1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2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2:62" ht="11.1" customHeight="1">
      <c r="B70" s="410" t="s">
        <v>9</v>
      </c>
      <c r="C70" s="410"/>
      <c r="D70" s="410"/>
      <c r="E70" s="297" t="s">
        <v>795</v>
      </c>
      <c r="F70" s="2" t="s">
        <v>787</v>
      </c>
    </row>
    <row r="71" spans="2:62" ht="11.1" customHeight="1"/>
    <row r="72" spans="2:62" ht="12" customHeight="1">
      <c r="B72" s="380" t="s">
        <v>794</v>
      </c>
      <c r="C72" s="380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380"/>
      <c r="P72" s="380"/>
      <c r="Q72" s="380"/>
      <c r="R72" s="380"/>
      <c r="S72" s="380"/>
      <c r="T72" s="380"/>
      <c r="U72" s="380"/>
      <c r="V72" s="380"/>
      <c r="W72" s="380"/>
      <c r="X72" s="380"/>
      <c r="Y72" s="380"/>
      <c r="Z72" s="380"/>
      <c r="AA72" s="380"/>
      <c r="AB72" s="380"/>
      <c r="AC72" s="380"/>
      <c r="AD72" s="380"/>
      <c r="AE72" s="380"/>
      <c r="AF72" s="380"/>
      <c r="AG72" s="380"/>
      <c r="AH72" s="380"/>
      <c r="AI72" s="380"/>
      <c r="AJ72" s="380"/>
      <c r="AK72" s="380"/>
      <c r="AL72" s="380"/>
      <c r="AM72" s="380"/>
      <c r="AN72" s="380"/>
      <c r="AO72" s="380"/>
      <c r="AP72" s="380"/>
      <c r="AQ72" s="380"/>
      <c r="AR72" s="380"/>
      <c r="AS72" s="380"/>
      <c r="AT72" s="380"/>
      <c r="AU72" s="380"/>
      <c r="AV72" s="380"/>
      <c r="AW72" s="380"/>
      <c r="AX72" s="380"/>
      <c r="AY72" s="380"/>
      <c r="AZ72" s="380"/>
      <c r="BA72" s="380"/>
      <c r="BB72" s="380"/>
      <c r="BC72" s="380"/>
      <c r="BD72" s="380"/>
      <c r="BE72" s="380"/>
      <c r="BF72" s="380"/>
      <c r="BG72" s="380"/>
      <c r="BH72" s="380"/>
      <c r="BI72" s="380"/>
      <c r="BJ72" s="380"/>
    </row>
    <row r="73" spans="2:62" ht="11.1" customHeight="1">
      <c r="BJ73" s="20" t="s">
        <v>654</v>
      </c>
    </row>
    <row r="74" spans="2:62" ht="13.5" customHeight="1">
      <c r="B74" s="411" t="s">
        <v>424</v>
      </c>
      <c r="C74" s="752"/>
      <c r="D74" s="752"/>
      <c r="E74" s="752"/>
      <c r="F74" s="752"/>
      <c r="G74" s="752"/>
      <c r="H74" s="752"/>
      <c r="I74" s="752"/>
      <c r="J74" s="752"/>
      <c r="K74" s="752"/>
      <c r="L74" s="752"/>
      <c r="M74" s="386" t="s">
        <v>676</v>
      </c>
      <c r="N74" s="752"/>
      <c r="O74" s="752"/>
      <c r="P74" s="752"/>
      <c r="Q74" s="752"/>
      <c r="R74" s="752"/>
      <c r="S74" s="752"/>
      <c r="T74" s="752"/>
      <c r="U74" s="752"/>
      <c r="V74" s="752"/>
      <c r="W74" s="386" t="s">
        <v>793</v>
      </c>
      <c r="X74" s="752"/>
      <c r="Y74" s="752"/>
      <c r="Z74" s="752"/>
      <c r="AA74" s="752"/>
      <c r="AB74" s="752"/>
      <c r="AC74" s="752"/>
      <c r="AD74" s="752"/>
      <c r="AE74" s="752"/>
      <c r="AF74" s="752"/>
      <c r="AG74" s="386" t="s">
        <v>792</v>
      </c>
      <c r="AH74" s="752"/>
      <c r="AI74" s="752"/>
      <c r="AJ74" s="752"/>
      <c r="AK74" s="752"/>
      <c r="AL74" s="752"/>
      <c r="AM74" s="752"/>
      <c r="AN74" s="752"/>
      <c r="AO74" s="752"/>
      <c r="AP74" s="752"/>
      <c r="AQ74" s="386" t="s">
        <v>791</v>
      </c>
      <c r="AR74" s="752"/>
      <c r="AS74" s="752"/>
      <c r="AT74" s="752"/>
      <c r="AU74" s="752"/>
      <c r="AV74" s="752"/>
      <c r="AW74" s="752"/>
      <c r="AX74" s="752"/>
      <c r="AY74" s="752"/>
      <c r="AZ74" s="752"/>
      <c r="BA74" s="386" t="s">
        <v>790</v>
      </c>
      <c r="BB74" s="752"/>
      <c r="BC74" s="752"/>
      <c r="BD74" s="752"/>
      <c r="BE74" s="752"/>
      <c r="BF74" s="752"/>
      <c r="BG74" s="752"/>
      <c r="BH74" s="752"/>
      <c r="BI74" s="752"/>
      <c r="BJ74" s="755"/>
    </row>
    <row r="75" spans="2:62" ht="11.1" customHeight="1">
      <c r="L75" s="21"/>
      <c r="AE75" s="842" t="s">
        <v>777</v>
      </c>
      <c r="AF75" s="843"/>
      <c r="AO75" s="842" t="s">
        <v>777</v>
      </c>
      <c r="AP75" s="843"/>
      <c r="AY75" s="842" t="s">
        <v>777</v>
      </c>
      <c r="AZ75" s="843"/>
      <c r="BI75" s="842" t="s">
        <v>777</v>
      </c>
      <c r="BJ75" s="843"/>
    </row>
    <row r="76" spans="2:62" ht="12" customHeight="1">
      <c r="C76" s="389" t="s">
        <v>7</v>
      </c>
      <c r="D76" s="389"/>
      <c r="E76" s="389"/>
      <c r="F76" s="380">
        <v>23</v>
      </c>
      <c r="G76" s="380"/>
      <c r="H76" s="380"/>
      <c r="I76" s="380" t="s">
        <v>438</v>
      </c>
      <c r="J76" s="380"/>
      <c r="K76" s="380"/>
      <c r="L76" s="22"/>
      <c r="M76" s="851">
        <v>1</v>
      </c>
      <c r="N76" s="851"/>
      <c r="O76" s="851"/>
      <c r="P76" s="851"/>
      <c r="Q76" s="851"/>
      <c r="R76" s="851"/>
      <c r="S76" s="851"/>
      <c r="T76" s="851"/>
      <c r="U76" s="851"/>
      <c r="V76" s="851"/>
      <c r="W76" s="823">
        <v>32034</v>
      </c>
      <c r="X76" s="823"/>
      <c r="Y76" s="823"/>
      <c r="Z76" s="823"/>
      <c r="AA76" s="823"/>
      <c r="AB76" s="823"/>
      <c r="AC76" s="823"/>
      <c r="AD76" s="823"/>
      <c r="AE76" s="823"/>
      <c r="AF76" s="823"/>
      <c r="AG76" s="823">
        <v>7627</v>
      </c>
      <c r="AH76" s="823"/>
      <c r="AI76" s="823"/>
      <c r="AJ76" s="823"/>
      <c r="AK76" s="823"/>
      <c r="AL76" s="823"/>
      <c r="AM76" s="823"/>
      <c r="AN76" s="823"/>
      <c r="AO76" s="823"/>
      <c r="AP76" s="823"/>
      <c r="AQ76" s="823">
        <v>17741</v>
      </c>
      <c r="AR76" s="823"/>
      <c r="AS76" s="823"/>
      <c r="AT76" s="823"/>
      <c r="AU76" s="823"/>
      <c r="AV76" s="823"/>
      <c r="AW76" s="823"/>
      <c r="AX76" s="823"/>
      <c r="AY76" s="823"/>
      <c r="AZ76" s="823"/>
      <c r="BA76" s="823">
        <v>1610</v>
      </c>
      <c r="BB76" s="823"/>
      <c r="BC76" s="823"/>
      <c r="BD76" s="823"/>
      <c r="BE76" s="823"/>
      <c r="BF76" s="823"/>
      <c r="BG76" s="823"/>
      <c r="BH76" s="823"/>
      <c r="BI76" s="823"/>
      <c r="BJ76" s="823"/>
    </row>
    <row r="77" spans="2:62" ht="12" customHeight="1">
      <c r="F77" s="380">
        <v>24</v>
      </c>
      <c r="G77" s="380"/>
      <c r="H77" s="380"/>
      <c r="L77" s="22"/>
      <c r="M77" s="851">
        <v>1</v>
      </c>
      <c r="N77" s="851"/>
      <c r="O77" s="851"/>
      <c r="P77" s="851"/>
      <c r="Q77" s="851"/>
      <c r="R77" s="851"/>
      <c r="S77" s="851"/>
      <c r="T77" s="851"/>
      <c r="U77" s="851"/>
      <c r="V77" s="851"/>
      <c r="W77" s="823">
        <v>32034</v>
      </c>
      <c r="X77" s="823"/>
      <c r="Y77" s="823"/>
      <c r="Z77" s="823"/>
      <c r="AA77" s="823"/>
      <c r="AB77" s="823"/>
      <c r="AC77" s="823"/>
      <c r="AD77" s="823"/>
      <c r="AE77" s="823"/>
      <c r="AF77" s="823"/>
      <c r="AG77" s="823">
        <v>7563</v>
      </c>
      <c r="AH77" s="823"/>
      <c r="AI77" s="823"/>
      <c r="AJ77" s="823"/>
      <c r="AK77" s="823"/>
      <c r="AL77" s="823"/>
      <c r="AM77" s="823"/>
      <c r="AN77" s="823"/>
      <c r="AO77" s="823"/>
      <c r="AP77" s="823"/>
      <c r="AQ77" s="823">
        <v>17741</v>
      </c>
      <c r="AR77" s="823"/>
      <c r="AS77" s="823"/>
      <c r="AT77" s="823"/>
      <c r="AU77" s="823"/>
      <c r="AV77" s="823"/>
      <c r="AW77" s="823"/>
      <c r="AX77" s="823"/>
      <c r="AY77" s="823"/>
      <c r="AZ77" s="823"/>
      <c r="BA77" s="823">
        <v>1610</v>
      </c>
      <c r="BB77" s="823"/>
      <c r="BC77" s="823"/>
      <c r="BD77" s="823"/>
      <c r="BE77" s="823"/>
      <c r="BF77" s="823"/>
      <c r="BG77" s="823"/>
      <c r="BH77" s="823"/>
      <c r="BI77" s="823"/>
      <c r="BJ77" s="823"/>
    </row>
    <row r="78" spans="2:62" ht="12" customHeight="1">
      <c r="F78" s="392">
        <v>25</v>
      </c>
      <c r="G78" s="392"/>
      <c r="H78" s="392"/>
      <c r="L78" s="22"/>
      <c r="M78" s="849">
        <v>1</v>
      </c>
      <c r="N78" s="849"/>
      <c r="O78" s="849"/>
      <c r="P78" s="849"/>
      <c r="Q78" s="849"/>
      <c r="R78" s="849"/>
      <c r="S78" s="849"/>
      <c r="T78" s="849"/>
      <c r="U78" s="849"/>
      <c r="V78" s="849"/>
      <c r="W78" s="825">
        <v>32034</v>
      </c>
      <c r="X78" s="825"/>
      <c r="Y78" s="825"/>
      <c r="Z78" s="825"/>
      <c r="AA78" s="825"/>
      <c r="AB78" s="825"/>
      <c r="AC78" s="825"/>
      <c r="AD78" s="825"/>
      <c r="AE78" s="825"/>
      <c r="AF78" s="825"/>
      <c r="AG78" s="825">
        <v>7567</v>
      </c>
      <c r="AH78" s="825"/>
      <c r="AI78" s="825"/>
      <c r="AJ78" s="825"/>
      <c r="AK78" s="825"/>
      <c r="AL78" s="825"/>
      <c r="AM78" s="825"/>
      <c r="AN78" s="825"/>
      <c r="AO78" s="825"/>
      <c r="AP78" s="825"/>
      <c r="AQ78" s="825">
        <v>17741</v>
      </c>
      <c r="AR78" s="825"/>
      <c r="AS78" s="825"/>
      <c r="AT78" s="825"/>
      <c r="AU78" s="825"/>
      <c r="AV78" s="825"/>
      <c r="AW78" s="825"/>
      <c r="AX78" s="825"/>
      <c r="AY78" s="825"/>
      <c r="AZ78" s="825"/>
      <c r="BA78" s="825">
        <v>1610</v>
      </c>
      <c r="BB78" s="825"/>
      <c r="BC78" s="825"/>
      <c r="BD78" s="825"/>
      <c r="BE78" s="825"/>
      <c r="BF78" s="825"/>
      <c r="BG78" s="825"/>
      <c r="BH78" s="825"/>
      <c r="BI78" s="825"/>
      <c r="BJ78" s="825"/>
    </row>
    <row r="79" spans="2:62" ht="8.1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2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</row>
    <row r="80" spans="2:62" ht="11.1" customHeight="1">
      <c r="C80" s="400" t="s">
        <v>8</v>
      </c>
      <c r="D80" s="400"/>
      <c r="E80" s="339" t="s">
        <v>788</v>
      </c>
      <c r="F80" s="2" t="s">
        <v>789</v>
      </c>
    </row>
    <row r="81" spans="2:6">
      <c r="B81" s="547" t="s">
        <v>9</v>
      </c>
      <c r="C81" s="547"/>
      <c r="D81" s="547"/>
      <c r="E81" s="297" t="s">
        <v>788</v>
      </c>
      <c r="F81" s="2" t="s">
        <v>787</v>
      </c>
    </row>
  </sheetData>
  <mergeCells count="260">
    <mergeCell ref="C80:D80"/>
    <mergeCell ref="B5:BJ5"/>
    <mergeCell ref="B7:N8"/>
    <mergeCell ref="O7:T8"/>
    <mergeCell ref="BE7:BJ8"/>
    <mergeCell ref="U8:Z8"/>
    <mergeCell ref="AA8:AF8"/>
    <mergeCell ref="AG8:AL8"/>
    <mergeCell ref="U7:AL7"/>
    <mergeCell ref="AM7:BD7"/>
    <mergeCell ref="AM8:AR8"/>
    <mergeCell ref="AY10:BD10"/>
    <mergeCell ref="BE10:BJ10"/>
    <mergeCell ref="C12:M12"/>
    <mergeCell ref="O12:T12"/>
    <mergeCell ref="U12:Z12"/>
    <mergeCell ref="AA12:AF12"/>
    <mergeCell ref="AG12:AL12"/>
    <mergeCell ref="AS8:AX8"/>
    <mergeCell ref="AY8:BD8"/>
    <mergeCell ref="BI9:BJ9"/>
    <mergeCell ref="C10:M10"/>
    <mergeCell ref="O10:T10"/>
    <mergeCell ref="U10:Z10"/>
    <mergeCell ref="AB23:AH23"/>
    <mergeCell ref="AI23:AO23"/>
    <mergeCell ref="AA10:AF10"/>
    <mergeCell ref="AG10:AL10"/>
    <mergeCell ref="AM10:AR10"/>
    <mergeCell ref="AS10:AX10"/>
    <mergeCell ref="C23:F23"/>
    <mergeCell ref="G23:I23"/>
    <mergeCell ref="J23:L23"/>
    <mergeCell ref="G24:I24"/>
    <mergeCell ref="G25:I25"/>
    <mergeCell ref="AY12:BD12"/>
    <mergeCell ref="BE12:BJ12"/>
    <mergeCell ref="C14:D14"/>
    <mergeCell ref="F14:G14"/>
    <mergeCell ref="F15:G15"/>
    <mergeCell ref="AM12:AR12"/>
    <mergeCell ref="AS12:AX12"/>
    <mergeCell ref="AP23:AV23"/>
    <mergeCell ref="B16:D16"/>
    <mergeCell ref="B18:BJ18"/>
    <mergeCell ref="B19:BJ19"/>
    <mergeCell ref="AW23:BC23"/>
    <mergeCell ref="BD23:BJ23"/>
    <mergeCell ref="AP21:AV21"/>
    <mergeCell ref="AW21:BC21"/>
    <mergeCell ref="BD25:BJ25"/>
    <mergeCell ref="AB24:AH24"/>
    <mergeCell ref="AI24:AO24"/>
    <mergeCell ref="AP24:AV24"/>
    <mergeCell ref="AW24:BC24"/>
    <mergeCell ref="BD24:BJ24"/>
    <mergeCell ref="U25:AA25"/>
    <mergeCell ref="U26:AA26"/>
    <mergeCell ref="N28:T28"/>
    <mergeCell ref="U24:AA24"/>
    <mergeCell ref="AW28:BC28"/>
    <mergeCell ref="AB25:AH25"/>
    <mergeCell ref="AI25:AO25"/>
    <mergeCell ref="AP25:AV25"/>
    <mergeCell ref="AW25:BC25"/>
    <mergeCell ref="AP26:AV26"/>
    <mergeCell ref="N23:T23"/>
    <mergeCell ref="N24:T24"/>
    <mergeCell ref="N25:T25"/>
    <mergeCell ref="N26:T26"/>
    <mergeCell ref="N27:T27"/>
    <mergeCell ref="AP27:AV27"/>
    <mergeCell ref="AW27:BC27"/>
    <mergeCell ref="AB26:AH26"/>
    <mergeCell ref="AI26:AO26"/>
    <mergeCell ref="AW26:BC26"/>
    <mergeCell ref="BD26:BJ26"/>
    <mergeCell ref="U27:AA27"/>
    <mergeCell ref="AB27:AH27"/>
    <mergeCell ref="AI27:AO27"/>
    <mergeCell ref="B45:D45"/>
    <mergeCell ref="C37:F37"/>
    <mergeCell ref="G37:I37"/>
    <mergeCell ref="AA37:AL37"/>
    <mergeCell ref="AA38:AL38"/>
    <mergeCell ref="BD27:BJ27"/>
    <mergeCell ref="AY37:BJ37"/>
    <mergeCell ref="AM38:AX38"/>
    <mergeCell ref="AY38:BJ38"/>
    <mergeCell ref="U28:AA28"/>
    <mergeCell ref="AI28:AO28"/>
    <mergeCell ref="AP28:AV28"/>
    <mergeCell ref="AB28:AH28"/>
    <mergeCell ref="AM37:AX37"/>
    <mergeCell ref="G26:I26"/>
    <mergeCell ref="G27:I27"/>
    <mergeCell ref="G28:I28"/>
    <mergeCell ref="N37:Z37"/>
    <mergeCell ref="N38:Z38"/>
    <mergeCell ref="N39:Z39"/>
    <mergeCell ref="N40:Z40"/>
    <mergeCell ref="N41:Z41"/>
    <mergeCell ref="N42:Z42"/>
    <mergeCell ref="AM40:AX40"/>
    <mergeCell ref="AY40:BJ40"/>
    <mergeCell ref="C30:D30"/>
    <mergeCell ref="B31:D31"/>
    <mergeCell ref="B33:BJ33"/>
    <mergeCell ref="G41:I41"/>
    <mergeCell ref="G42:I42"/>
    <mergeCell ref="AM39:AX39"/>
    <mergeCell ref="AY39:BJ39"/>
    <mergeCell ref="AM41:AX41"/>
    <mergeCell ref="AY41:BJ41"/>
    <mergeCell ref="AA39:AL39"/>
    <mergeCell ref="AA40:AL40"/>
    <mergeCell ref="AA41:AL41"/>
    <mergeCell ref="AA42:AL42"/>
    <mergeCell ref="J37:L37"/>
    <mergeCell ref="G40:I40"/>
    <mergeCell ref="C52:E52"/>
    <mergeCell ref="F52:H52"/>
    <mergeCell ref="I52:K52"/>
    <mergeCell ref="M52:V52"/>
    <mergeCell ref="W52:AF52"/>
    <mergeCell ref="AG52:AP52"/>
    <mergeCell ref="AM42:AX42"/>
    <mergeCell ref="AY42:BJ42"/>
    <mergeCell ref="G38:I38"/>
    <mergeCell ref="G39:I39"/>
    <mergeCell ref="AE51:AF51"/>
    <mergeCell ref="AO51:AP51"/>
    <mergeCell ref="AY51:AZ51"/>
    <mergeCell ref="BI51:BJ51"/>
    <mergeCell ref="M50:V50"/>
    <mergeCell ref="W50:AF50"/>
    <mergeCell ref="B47:BJ47"/>
    <mergeCell ref="B48:BJ48"/>
    <mergeCell ref="C44:D44"/>
    <mergeCell ref="AQ52:AZ52"/>
    <mergeCell ref="BA52:BJ52"/>
    <mergeCell ref="F53:H53"/>
    <mergeCell ref="M53:V53"/>
    <mergeCell ref="W53:AF53"/>
    <mergeCell ref="AG53:AP53"/>
    <mergeCell ref="AQ53:AZ53"/>
    <mergeCell ref="BA53:BJ53"/>
    <mergeCell ref="F54:H54"/>
    <mergeCell ref="M54:V54"/>
    <mergeCell ref="W54:AF54"/>
    <mergeCell ref="AG54:AP54"/>
    <mergeCell ref="AQ54:AZ54"/>
    <mergeCell ref="BA54:BJ54"/>
    <mergeCell ref="AG64:AP64"/>
    <mergeCell ref="F55:H55"/>
    <mergeCell ref="M55:V55"/>
    <mergeCell ref="W55:AF55"/>
    <mergeCell ref="AG55:AP55"/>
    <mergeCell ref="AQ55:AZ55"/>
    <mergeCell ref="BA55:BJ55"/>
    <mergeCell ref="B60:BJ60"/>
    <mergeCell ref="F56:H56"/>
    <mergeCell ref="M56:V56"/>
    <mergeCell ref="W56:AF56"/>
    <mergeCell ref="AG56:AP56"/>
    <mergeCell ref="AQ56:AZ56"/>
    <mergeCell ref="BA56:BJ56"/>
    <mergeCell ref="BI75:BJ75"/>
    <mergeCell ref="C76:E76"/>
    <mergeCell ref="F76:H76"/>
    <mergeCell ref="I76:K76"/>
    <mergeCell ref="M76:V76"/>
    <mergeCell ref="W76:AF76"/>
    <mergeCell ref="AG76:AP76"/>
    <mergeCell ref="F67:H67"/>
    <mergeCell ref="M67:V67"/>
    <mergeCell ref="W67:AF67"/>
    <mergeCell ref="AG67:AP67"/>
    <mergeCell ref="AQ67:AZ67"/>
    <mergeCell ref="BA67:BJ67"/>
    <mergeCell ref="B70:D70"/>
    <mergeCell ref="B72:BJ72"/>
    <mergeCell ref="F68:H68"/>
    <mergeCell ref="M68:V68"/>
    <mergeCell ref="W68:AF68"/>
    <mergeCell ref="AG68:AP68"/>
    <mergeCell ref="AQ68:AZ68"/>
    <mergeCell ref="BA68:BJ68"/>
    <mergeCell ref="B81:D81"/>
    <mergeCell ref="B21:M21"/>
    <mergeCell ref="N21:T21"/>
    <mergeCell ref="U21:AA21"/>
    <mergeCell ref="AB21:AH21"/>
    <mergeCell ref="AI21:AO21"/>
    <mergeCell ref="AE75:AF75"/>
    <mergeCell ref="AO75:AP75"/>
    <mergeCell ref="AY75:AZ75"/>
    <mergeCell ref="AQ64:AZ64"/>
    <mergeCell ref="F65:H65"/>
    <mergeCell ref="M65:V65"/>
    <mergeCell ref="W65:AF65"/>
    <mergeCell ref="AG65:AP65"/>
    <mergeCell ref="AQ65:AZ65"/>
    <mergeCell ref="F66:H66"/>
    <mergeCell ref="M66:V66"/>
    <mergeCell ref="W66:AF66"/>
    <mergeCell ref="AG66:AP66"/>
    <mergeCell ref="AQ66:AZ66"/>
    <mergeCell ref="AE63:AF63"/>
    <mergeCell ref="AO63:AP63"/>
    <mergeCell ref="AY63:AZ63"/>
    <mergeCell ref="C64:E64"/>
    <mergeCell ref="AS1:BK2"/>
    <mergeCell ref="F78:H78"/>
    <mergeCell ref="M78:V78"/>
    <mergeCell ref="W78:AF78"/>
    <mergeCell ref="AG78:AP78"/>
    <mergeCell ref="AQ78:AZ78"/>
    <mergeCell ref="BA78:BJ78"/>
    <mergeCell ref="BD21:BJ21"/>
    <mergeCell ref="BD28:BJ28"/>
    <mergeCell ref="U23:AA23"/>
    <mergeCell ref="F77:H77"/>
    <mergeCell ref="M77:V77"/>
    <mergeCell ref="W77:AF77"/>
    <mergeCell ref="AG77:AP77"/>
    <mergeCell ref="AQ77:AZ77"/>
    <mergeCell ref="BA77:BJ77"/>
    <mergeCell ref="B35:M35"/>
    <mergeCell ref="N35:Z35"/>
    <mergeCell ref="AA35:AL35"/>
    <mergeCell ref="AM35:AX35"/>
    <mergeCell ref="AQ76:AZ76"/>
    <mergeCell ref="BA76:BJ76"/>
    <mergeCell ref="AY35:BJ35"/>
    <mergeCell ref="B74:L74"/>
    <mergeCell ref="B50:L50"/>
    <mergeCell ref="AG74:AP74"/>
    <mergeCell ref="AQ74:AZ74"/>
    <mergeCell ref="BA74:BJ74"/>
    <mergeCell ref="B62:L62"/>
    <mergeCell ref="M62:V62"/>
    <mergeCell ref="W62:AF62"/>
    <mergeCell ref="AG62:AP62"/>
    <mergeCell ref="AQ62:AZ62"/>
    <mergeCell ref="BA62:BJ62"/>
    <mergeCell ref="M74:V74"/>
    <mergeCell ref="W74:AF74"/>
    <mergeCell ref="AG50:AP50"/>
    <mergeCell ref="AQ50:AZ50"/>
    <mergeCell ref="BA50:BJ50"/>
    <mergeCell ref="B58:D58"/>
    <mergeCell ref="BA64:BJ64"/>
    <mergeCell ref="BA65:BJ65"/>
    <mergeCell ref="BA66:BJ66"/>
    <mergeCell ref="BI63:BJ63"/>
    <mergeCell ref="F64:H64"/>
    <mergeCell ref="I64:K64"/>
    <mergeCell ref="M64:V64"/>
    <mergeCell ref="W64:AF64"/>
  </mergeCells>
  <phoneticPr fontId="2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4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3" ht="11.1" customHeight="1">
      <c r="A1" s="376">
        <f>'209'!AS1+1</f>
        <v>210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BK1" s="356"/>
    </row>
    <row r="2" spans="1:63" ht="11.1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63" ht="11.1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</row>
    <row r="4" spans="1:63" ht="11.1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</row>
    <row r="5" spans="1:63" ht="18" customHeight="1">
      <c r="B5" s="379" t="s">
        <v>826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</row>
    <row r="6" spans="1:63" ht="12.9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3">
      <c r="B7" s="411" t="s">
        <v>677</v>
      </c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855" t="s">
        <v>644</v>
      </c>
      <c r="S7" s="855"/>
      <c r="T7" s="855"/>
      <c r="U7" s="855"/>
      <c r="V7" s="855"/>
      <c r="W7" s="855"/>
      <c r="X7" s="855"/>
      <c r="Y7" s="855"/>
      <c r="Z7" s="855"/>
      <c r="AA7" s="855"/>
      <c r="AB7" s="855"/>
      <c r="AC7" s="855"/>
      <c r="AD7" s="855"/>
      <c r="AE7" s="855"/>
      <c r="AF7" s="855"/>
      <c r="AG7" s="855"/>
      <c r="AH7" s="855"/>
      <c r="AI7" s="855"/>
      <c r="AJ7" s="855"/>
      <c r="AK7" s="855"/>
      <c r="AL7" s="855"/>
      <c r="AM7" s="855"/>
      <c r="AN7" s="855"/>
      <c r="AO7" s="855"/>
      <c r="AP7" s="855"/>
      <c r="AQ7" s="855"/>
      <c r="AR7" s="855"/>
      <c r="AS7" s="855"/>
      <c r="AT7" s="855"/>
      <c r="AU7" s="855"/>
      <c r="AV7" s="855"/>
      <c r="AW7" s="855"/>
      <c r="AX7" s="855"/>
      <c r="AY7" s="855"/>
      <c r="AZ7" s="855"/>
      <c r="BA7" s="855"/>
      <c r="BB7" s="855"/>
      <c r="BC7" s="855"/>
      <c r="BD7" s="855"/>
      <c r="BE7" s="855"/>
      <c r="BF7" s="855"/>
      <c r="BG7" s="855"/>
      <c r="BH7" s="855"/>
      <c r="BI7" s="855"/>
      <c r="BJ7" s="858"/>
    </row>
    <row r="8" spans="1:63">
      <c r="B8" s="412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 t="s">
        <v>672</v>
      </c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 t="s">
        <v>671</v>
      </c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385"/>
      <c r="BH8" s="385"/>
      <c r="BI8" s="385"/>
      <c r="BJ8" s="388"/>
    </row>
    <row r="9" spans="1:63">
      <c r="B9" s="412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 t="s">
        <v>685</v>
      </c>
      <c r="S9" s="385"/>
      <c r="T9" s="385"/>
      <c r="U9" s="385"/>
      <c r="V9" s="385"/>
      <c r="W9" s="385" t="s">
        <v>684</v>
      </c>
      <c r="X9" s="385"/>
      <c r="Y9" s="385"/>
      <c r="Z9" s="385"/>
      <c r="AA9" s="385"/>
      <c r="AB9" s="385" t="s">
        <v>683</v>
      </c>
      <c r="AC9" s="385"/>
      <c r="AD9" s="385"/>
      <c r="AE9" s="385"/>
      <c r="AF9" s="385"/>
      <c r="AG9" s="385" t="s">
        <v>692</v>
      </c>
      <c r="AH9" s="385"/>
      <c r="AI9" s="385"/>
      <c r="AJ9" s="385"/>
      <c r="AK9" s="385"/>
      <c r="AL9" s="385" t="s">
        <v>691</v>
      </c>
      <c r="AM9" s="385"/>
      <c r="AN9" s="385"/>
      <c r="AO9" s="385"/>
      <c r="AP9" s="385"/>
      <c r="AQ9" s="385" t="s">
        <v>690</v>
      </c>
      <c r="AR9" s="385"/>
      <c r="AS9" s="385"/>
      <c r="AT9" s="385"/>
      <c r="AU9" s="385"/>
      <c r="AV9" s="385" t="s">
        <v>685</v>
      </c>
      <c r="AW9" s="385"/>
      <c r="AX9" s="385"/>
      <c r="AY9" s="385"/>
      <c r="AZ9" s="385"/>
      <c r="BA9" s="385" t="s">
        <v>684</v>
      </c>
      <c r="BB9" s="385"/>
      <c r="BC9" s="385"/>
      <c r="BD9" s="385"/>
      <c r="BE9" s="385"/>
      <c r="BF9" s="385" t="s">
        <v>683</v>
      </c>
      <c r="BG9" s="385"/>
      <c r="BH9" s="385"/>
      <c r="BI9" s="385"/>
      <c r="BJ9" s="388"/>
    </row>
    <row r="10" spans="1:63" ht="8.1" customHeight="1">
      <c r="Q10" s="21"/>
    </row>
    <row r="11" spans="1:63">
      <c r="C11" s="162"/>
      <c r="D11" s="389" t="s">
        <v>825</v>
      </c>
      <c r="E11" s="389"/>
      <c r="F11" s="389"/>
      <c r="G11" s="389"/>
      <c r="Q11" s="22"/>
    </row>
    <row r="12" spans="1:63">
      <c r="E12" s="389" t="s">
        <v>7</v>
      </c>
      <c r="F12" s="389"/>
      <c r="G12" s="389"/>
      <c r="H12" s="389"/>
      <c r="I12" s="380">
        <v>14</v>
      </c>
      <c r="J12" s="380"/>
      <c r="K12" s="380"/>
      <c r="L12" s="380" t="s">
        <v>438</v>
      </c>
      <c r="M12" s="380"/>
      <c r="N12" s="380"/>
      <c r="O12" s="380"/>
      <c r="Q12" s="22"/>
      <c r="R12" s="857">
        <v>116.8</v>
      </c>
      <c r="S12" s="857"/>
      <c r="T12" s="857"/>
      <c r="U12" s="857"/>
      <c r="V12" s="857"/>
      <c r="W12" s="856">
        <v>123</v>
      </c>
      <c r="X12" s="856"/>
      <c r="Y12" s="856"/>
      <c r="Z12" s="856"/>
      <c r="AA12" s="856"/>
      <c r="AB12" s="856">
        <v>128.4</v>
      </c>
      <c r="AC12" s="856"/>
      <c r="AD12" s="856"/>
      <c r="AE12" s="856"/>
      <c r="AF12" s="856"/>
      <c r="AG12" s="856">
        <v>133.6</v>
      </c>
      <c r="AH12" s="856"/>
      <c r="AI12" s="856"/>
      <c r="AJ12" s="856"/>
      <c r="AK12" s="856"/>
      <c r="AL12" s="856">
        <v>139.19999999999999</v>
      </c>
      <c r="AM12" s="856"/>
      <c r="AN12" s="856"/>
      <c r="AO12" s="856"/>
      <c r="AP12" s="856"/>
      <c r="AQ12" s="856">
        <v>145.5</v>
      </c>
      <c r="AR12" s="856"/>
      <c r="AS12" s="856"/>
      <c r="AT12" s="856"/>
      <c r="AU12" s="856"/>
      <c r="AV12" s="856">
        <v>153</v>
      </c>
      <c r="AW12" s="856"/>
      <c r="AX12" s="856"/>
      <c r="AY12" s="856"/>
      <c r="AZ12" s="856"/>
      <c r="BA12" s="856">
        <v>160.5</v>
      </c>
      <c r="BB12" s="856"/>
      <c r="BC12" s="856"/>
      <c r="BD12" s="856"/>
      <c r="BE12" s="856"/>
      <c r="BF12" s="856">
        <v>166.3</v>
      </c>
      <c r="BG12" s="856"/>
      <c r="BH12" s="856"/>
      <c r="BI12" s="856"/>
      <c r="BJ12" s="856"/>
    </row>
    <row r="13" spans="1:63">
      <c r="I13" s="380">
        <v>19</v>
      </c>
      <c r="J13" s="380"/>
      <c r="K13" s="380"/>
      <c r="Q13" s="22"/>
      <c r="R13" s="857">
        <v>116.9</v>
      </c>
      <c r="S13" s="857"/>
      <c r="T13" s="857"/>
      <c r="U13" s="857"/>
      <c r="V13" s="857"/>
      <c r="W13" s="856">
        <v>122.7</v>
      </c>
      <c r="X13" s="856"/>
      <c r="Y13" s="856"/>
      <c r="Z13" s="856"/>
      <c r="AA13" s="856"/>
      <c r="AB13" s="856">
        <v>128.6</v>
      </c>
      <c r="AC13" s="856"/>
      <c r="AD13" s="856"/>
      <c r="AE13" s="856"/>
      <c r="AF13" s="856"/>
      <c r="AG13" s="856">
        <v>134</v>
      </c>
      <c r="AH13" s="856"/>
      <c r="AI13" s="856"/>
      <c r="AJ13" s="856"/>
      <c r="AK13" s="856"/>
      <c r="AL13" s="856">
        <v>139.1</v>
      </c>
      <c r="AM13" s="856"/>
      <c r="AN13" s="856"/>
      <c r="AO13" s="856"/>
      <c r="AP13" s="856"/>
      <c r="AQ13" s="856">
        <v>145.30000000000001</v>
      </c>
      <c r="AR13" s="856"/>
      <c r="AS13" s="856"/>
      <c r="AT13" s="856"/>
      <c r="AU13" s="856"/>
      <c r="AV13" s="856">
        <v>153</v>
      </c>
      <c r="AW13" s="856"/>
      <c r="AX13" s="856"/>
      <c r="AY13" s="856"/>
      <c r="AZ13" s="856"/>
      <c r="BA13" s="856">
        <v>160.69999999999999</v>
      </c>
      <c r="BB13" s="856"/>
      <c r="BC13" s="856"/>
      <c r="BD13" s="856"/>
      <c r="BE13" s="856"/>
      <c r="BF13" s="856">
        <v>165.7</v>
      </c>
      <c r="BG13" s="856"/>
      <c r="BH13" s="856"/>
      <c r="BI13" s="856"/>
      <c r="BJ13" s="856"/>
    </row>
    <row r="14" spans="1:63">
      <c r="I14" s="392">
        <v>24</v>
      </c>
      <c r="J14" s="392"/>
      <c r="K14" s="392"/>
      <c r="Q14" s="22"/>
      <c r="R14" s="853">
        <v>116.7</v>
      </c>
      <c r="S14" s="853"/>
      <c r="T14" s="853"/>
      <c r="U14" s="853"/>
      <c r="V14" s="853"/>
      <c r="W14" s="854">
        <v>122.7</v>
      </c>
      <c r="X14" s="854"/>
      <c r="Y14" s="854"/>
      <c r="Z14" s="854"/>
      <c r="AA14" s="854"/>
      <c r="AB14" s="854">
        <v>128.4</v>
      </c>
      <c r="AC14" s="854"/>
      <c r="AD14" s="854"/>
      <c r="AE14" s="854"/>
      <c r="AF14" s="854"/>
      <c r="AG14" s="854">
        <v>133.80000000000001</v>
      </c>
      <c r="AH14" s="854"/>
      <c r="AI14" s="854"/>
      <c r="AJ14" s="854"/>
      <c r="AK14" s="854"/>
      <c r="AL14" s="854">
        <v>139</v>
      </c>
      <c r="AM14" s="854"/>
      <c r="AN14" s="854"/>
      <c r="AO14" s="854"/>
      <c r="AP14" s="854"/>
      <c r="AQ14" s="854">
        <v>145.1</v>
      </c>
      <c r="AR14" s="854"/>
      <c r="AS14" s="854"/>
      <c r="AT14" s="854"/>
      <c r="AU14" s="854"/>
      <c r="AV14" s="854">
        <v>152.4</v>
      </c>
      <c r="AW14" s="854"/>
      <c r="AX14" s="854"/>
      <c r="AY14" s="854"/>
      <c r="AZ14" s="854"/>
      <c r="BA14" s="854">
        <v>160.19999999999999</v>
      </c>
      <c r="BB14" s="854"/>
      <c r="BC14" s="854"/>
      <c r="BD14" s="854"/>
      <c r="BE14" s="854"/>
      <c r="BF14" s="854">
        <v>165.9</v>
      </c>
      <c r="BG14" s="854"/>
      <c r="BH14" s="854"/>
      <c r="BI14" s="854"/>
      <c r="BJ14" s="854"/>
    </row>
    <row r="15" spans="1:63" ht="8.1" customHeight="1">
      <c r="Q15" s="22"/>
    </row>
    <row r="16" spans="1:63">
      <c r="D16" s="389" t="s">
        <v>824</v>
      </c>
      <c r="E16" s="389"/>
      <c r="F16" s="389"/>
      <c r="G16" s="389"/>
      <c r="Q16" s="22"/>
    </row>
    <row r="17" spans="2:62">
      <c r="E17" s="389" t="s">
        <v>7</v>
      </c>
      <c r="F17" s="389"/>
      <c r="G17" s="389"/>
      <c r="H17" s="389"/>
      <c r="I17" s="380">
        <v>14</v>
      </c>
      <c r="J17" s="380"/>
      <c r="K17" s="380"/>
      <c r="L17" s="380" t="s">
        <v>438</v>
      </c>
      <c r="M17" s="380"/>
      <c r="N17" s="380"/>
      <c r="O17" s="380"/>
      <c r="Q17" s="22"/>
      <c r="R17" s="857">
        <v>21.6</v>
      </c>
      <c r="S17" s="857"/>
      <c r="T17" s="857"/>
      <c r="U17" s="857"/>
      <c r="V17" s="857"/>
      <c r="W17" s="856">
        <v>24.5</v>
      </c>
      <c r="X17" s="856"/>
      <c r="Y17" s="856"/>
      <c r="Z17" s="856"/>
      <c r="AA17" s="856"/>
      <c r="AB17" s="856">
        <v>27.7</v>
      </c>
      <c r="AC17" s="856"/>
      <c r="AD17" s="856"/>
      <c r="AE17" s="856"/>
      <c r="AF17" s="856"/>
      <c r="AG17" s="856">
        <v>30.8</v>
      </c>
      <c r="AH17" s="856"/>
      <c r="AI17" s="856"/>
      <c r="AJ17" s="856"/>
      <c r="AK17" s="856"/>
      <c r="AL17" s="856">
        <v>34.700000000000003</v>
      </c>
      <c r="AM17" s="856"/>
      <c r="AN17" s="856"/>
      <c r="AO17" s="856"/>
      <c r="AP17" s="856"/>
      <c r="AQ17" s="856">
        <v>39.299999999999997</v>
      </c>
      <c r="AR17" s="856"/>
      <c r="AS17" s="856"/>
      <c r="AT17" s="856"/>
      <c r="AU17" s="856"/>
      <c r="AV17" s="856">
        <v>45</v>
      </c>
      <c r="AW17" s="856"/>
      <c r="AX17" s="856"/>
      <c r="AY17" s="856"/>
      <c r="AZ17" s="856"/>
      <c r="BA17" s="856">
        <v>50.6</v>
      </c>
      <c r="BB17" s="856"/>
      <c r="BC17" s="856"/>
      <c r="BD17" s="856"/>
      <c r="BE17" s="856"/>
      <c r="BF17" s="856">
        <v>56</v>
      </c>
      <c r="BG17" s="856"/>
      <c r="BH17" s="856"/>
      <c r="BI17" s="856"/>
      <c r="BJ17" s="856"/>
    </row>
    <row r="18" spans="2:62">
      <c r="I18" s="380">
        <v>19</v>
      </c>
      <c r="J18" s="380"/>
      <c r="K18" s="380"/>
      <c r="Q18" s="22"/>
      <c r="R18" s="857">
        <v>21.4</v>
      </c>
      <c r="S18" s="857"/>
      <c r="T18" s="857"/>
      <c r="U18" s="857"/>
      <c r="V18" s="857"/>
      <c r="W18" s="856">
        <v>24</v>
      </c>
      <c r="X18" s="856"/>
      <c r="Y18" s="856"/>
      <c r="Z18" s="856"/>
      <c r="AA18" s="856"/>
      <c r="AB18" s="856">
        <v>27.5</v>
      </c>
      <c r="AC18" s="856"/>
      <c r="AD18" s="856"/>
      <c r="AE18" s="856"/>
      <c r="AF18" s="856"/>
      <c r="AG18" s="856">
        <v>30.7</v>
      </c>
      <c r="AH18" s="856"/>
      <c r="AI18" s="856"/>
      <c r="AJ18" s="856"/>
      <c r="AK18" s="856"/>
      <c r="AL18" s="856">
        <v>34.200000000000003</v>
      </c>
      <c r="AM18" s="856"/>
      <c r="AN18" s="856"/>
      <c r="AO18" s="856"/>
      <c r="AP18" s="856"/>
      <c r="AQ18" s="856">
        <v>38.6</v>
      </c>
      <c r="AR18" s="856"/>
      <c r="AS18" s="856"/>
      <c r="AT18" s="856"/>
      <c r="AU18" s="856"/>
      <c r="AV18" s="856">
        <v>44.6</v>
      </c>
      <c r="AW18" s="856"/>
      <c r="AX18" s="856"/>
      <c r="AY18" s="856"/>
      <c r="AZ18" s="856"/>
      <c r="BA18" s="856">
        <v>50.3</v>
      </c>
      <c r="BB18" s="856"/>
      <c r="BC18" s="856"/>
      <c r="BD18" s="856"/>
      <c r="BE18" s="856"/>
      <c r="BF18" s="856">
        <v>54.9</v>
      </c>
      <c r="BG18" s="856"/>
      <c r="BH18" s="856"/>
      <c r="BI18" s="856"/>
      <c r="BJ18" s="856"/>
    </row>
    <row r="19" spans="2:62">
      <c r="I19" s="392">
        <v>24</v>
      </c>
      <c r="J19" s="392"/>
      <c r="K19" s="392"/>
      <c r="Q19" s="22"/>
      <c r="R19" s="853">
        <v>21.3</v>
      </c>
      <c r="S19" s="853"/>
      <c r="T19" s="853"/>
      <c r="U19" s="853"/>
      <c r="V19" s="853"/>
      <c r="W19" s="854">
        <v>23.9</v>
      </c>
      <c r="X19" s="854"/>
      <c r="Y19" s="854"/>
      <c r="Z19" s="854"/>
      <c r="AA19" s="854"/>
      <c r="AB19" s="854">
        <v>27.1</v>
      </c>
      <c r="AC19" s="854"/>
      <c r="AD19" s="854"/>
      <c r="AE19" s="854"/>
      <c r="AF19" s="854"/>
      <c r="AG19" s="854">
        <v>30.4</v>
      </c>
      <c r="AH19" s="854"/>
      <c r="AI19" s="854"/>
      <c r="AJ19" s="854"/>
      <c r="AK19" s="854"/>
      <c r="AL19" s="854">
        <v>33.9</v>
      </c>
      <c r="AM19" s="854"/>
      <c r="AN19" s="854"/>
      <c r="AO19" s="854"/>
      <c r="AP19" s="854"/>
      <c r="AQ19" s="854">
        <v>37.9</v>
      </c>
      <c r="AR19" s="854"/>
      <c r="AS19" s="854"/>
      <c r="AT19" s="854"/>
      <c r="AU19" s="854"/>
      <c r="AV19" s="854">
        <v>43.7</v>
      </c>
      <c r="AW19" s="854"/>
      <c r="AX19" s="854"/>
      <c r="AY19" s="854"/>
      <c r="AZ19" s="854"/>
      <c r="BA19" s="854">
        <v>49.5</v>
      </c>
      <c r="BB19" s="854"/>
      <c r="BC19" s="854"/>
      <c r="BD19" s="854"/>
      <c r="BE19" s="854"/>
      <c r="BF19" s="854">
        <v>54.4</v>
      </c>
      <c r="BG19" s="854"/>
      <c r="BH19" s="854"/>
      <c r="BI19" s="854"/>
      <c r="BJ19" s="854"/>
    </row>
    <row r="20" spans="2:62" ht="8.1" customHeight="1">
      <c r="Q20" s="22"/>
    </row>
    <row r="21" spans="2:62">
      <c r="D21" s="389" t="s">
        <v>823</v>
      </c>
      <c r="E21" s="389"/>
      <c r="F21" s="389"/>
      <c r="G21" s="389"/>
      <c r="Q21" s="22"/>
    </row>
    <row r="22" spans="2:62">
      <c r="E22" s="389" t="s">
        <v>7</v>
      </c>
      <c r="F22" s="389"/>
      <c r="G22" s="389"/>
      <c r="H22" s="389"/>
      <c r="I22" s="380">
        <v>14</v>
      </c>
      <c r="J22" s="380"/>
      <c r="K22" s="380"/>
      <c r="L22" s="380" t="s">
        <v>438</v>
      </c>
      <c r="M22" s="380"/>
      <c r="N22" s="380"/>
      <c r="O22" s="380"/>
      <c r="Q22" s="22"/>
      <c r="R22" s="857">
        <v>65</v>
      </c>
      <c r="S22" s="857"/>
      <c r="T22" s="857"/>
      <c r="U22" s="857"/>
      <c r="V22" s="857"/>
      <c r="W22" s="856">
        <v>67.900000000000006</v>
      </c>
      <c r="X22" s="856"/>
      <c r="Y22" s="856"/>
      <c r="Z22" s="856"/>
      <c r="AA22" s="856"/>
      <c r="AB22" s="856">
        <v>70.599999999999994</v>
      </c>
      <c r="AC22" s="856"/>
      <c r="AD22" s="856"/>
      <c r="AE22" s="856"/>
      <c r="AF22" s="856"/>
      <c r="AG22" s="856">
        <v>72.8</v>
      </c>
      <c r="AH22" s="856"/>
      <c r="AI22" s="856"/>
      <c r="AJ22" s="856"/>
      <c r="AK22" s="856"/>
      <c r="AL22" s="856">
        <v>75.3</v>
      </c>
      <c r="AM22" s="856"/>
      <c r="AN22" s="856"/>
      <c r="AO22" s="856"/>
      <c r="AP22" s="856"/>
      <c r="AQ22" s="856">
        <v>78</v>
      </c>
      <c r="AR22" s="856"/>
      <c r="AS22" s="856"/>
      <c r="AT22" s="856"/>
      <c r="AU22" s="856"/>
      <c r="AV22" s="856">
        <v>81.400000000000006</v>
      </c>
      <c r="AW22" s="856"/>
      <c r="AX22" s="856"/>
      <c r="AY22" s="856"/>
      <c r="AZ22" s="856"/>
      <c r="BA22" s="856">
        <v>85.4</v>
      </c>
      <c r="BB22" s="856"/>
      <c r="BC22" s="856"/>
      <c r="BD22" s="856"/>
      <c r="BE22" s="856"/>
      <c r="BF22" s="856">
        <v>88.6</v>
      </c>
      <c r="BG22" s="856"/>
      <c r="BH22" s="856"/>
      <c r="BI22" s="856"/>
      <c r="BJ22" s="856"/>
    </row>
    <row r="23" spans="2:62">
      <c r="I23" s="380">
        <v>19</v>
      </c>
      <c r="J23" s="380"/>
      <c r="K23" s="380"/>
      <c r="Q23" s="22"/>
      <c r="R23" s="857">
        <v>64.900000000000006</v>
      </c>
      <c r="S23" s="857"/>
      <c r="T23" s="857"/>
      <c r="U23" s="857"/>
      <c r="V23" s="857"/>
      <c r="W23" s="856">
        <v>67.7</v>
      </c>
      <c r="X23" s="856"/>
      <c r="Y23" s="856"/>
      <c r="Z23" s="856"/>
      <c r="AA23" s="856"/>
      <c r="AB23" s="856">
        <v>70.5</v>
      </c>
      <c r="AC23" s="856"/>
      <c r="AD23" s="856"/>
      <c r="AE23" s="856"/>
      <c r="AF23" s="856"/>
      <c r="AG23" s="856">
        <v>72.900000000000006</v>
      </c>
      <c r="AH23" s="856"/>
      <c r="AI23" s="856"/>
      <c r="AJ23" s="856"/>
      <c r="AK23" s="856"/>
      <c r="AL23" s="856">
        <v>75.099999999999994</v>
      </c>
      <c r="AM23" s="856"/>
      <c r="AN23" s="856"/>
      <c r="AO23" s="856"/>
      <c r="AP23" s="856"/>
      <c r="AQ23" s="856">
        <v>77.7</v>
      </c>
      <c r="AR23" s="856"/>
      <c r="AS23" s="856"/>
      <c r="AT23" s="856"/>
      <c r="AU23" s="856"/>
      <c r="AV23" s="856">
        <v>81.599999999999994</v>
      </c>
      <c r="AW23" s="856"/>
      <c r="AX23" s="856"/>
      <c r="AY23" s="856"/>
      <c r="AZ23" s="856"/>
      <c r="BA23" s="856">
        <v>85.5</v>
      </c>
      <c r="BB23" s="856"/>
      <c r="BC23" s="856"/>
      <c r="BD23" s="856"/>
      <c r="BE23" s="856"/>
      <c r="BF23" s="856">
        <v>88.3</v>
      </c>
      <c r="BG23" s="856"/>
      <c r="BH23" s="856"/>
      <c r="BI23" s="856"/>
      <c r="BJ23" s="856"/>
    </row>
    <row r="24" spans="2:62">
      <c r="I24" s="392">
        <v>24</v>
      </c>
      <c r="J24" s="392"/>
      <c r="K24" s="392"/>
      <c r="Q24" s="22"/>
      <c r="R24" s="853">
        <v>64.8</v>
      </c>
      <c r="S24" s="853"/>
      <c r="T24" s="853"/>
      <c r="U24" s="853"/>
      <c r="V24" s="853"/>
      <c r="W24" s="854">
        <v>67.7</v>
      </c>
      <c r="X24" s="854"/>
      <c r="Y24" s="854"/>
      <c r="Z24" s="854"/>
      <c r="AA24" s="854"/>
      <c r="AB24" s="854">
        <v>70.3</v>
      </c>
      <c r="AC24" s="854"/>
      <c r="AD24" s="854"/>
      <c r="AE24" s="854"/>
      <c r="AF24" s="854"/>
      <c r="AG24" s="854">
        <v>72.8</v>
      </c>
      <c r="AH24" s="854"/>
      <c r="AI24" s="854"/>
      <c r="AJ24" s="854"/>
      <c r="AK24" s="854"/>
      <c r="AL24" s="854">
        <v>74.900000000000006</v>
      </c>
      <c r="AM24" s="854"/>
      <c r="AN24" s="854"/>
      <c r="AO24" s="854"/>
      <c r="AP24" s="854"/>
      <c r="AQ24" s="854">
        <v>76.400000000000006</v>
      </c>
      <c r="AR24" s="854"/>
      <c r="AS24" s="854"/>
      <c r="AT24" s="854"/>
      <c r="AU24" s="854"/>
      <c r="AV24" s="854">
        <v>81.099999999999994</v>
      </c>
      <c r="AW24" s="854"/>
      <c r="AX24" s="854"/>
      <c r="AY24" s="854"/>
      <c r="AZ24" s="854"/>
      <c r="BA24" s="854">
        <v>85.3</v>
      </c>
      <c r="BB24" s="854"/>
      <c r="BC24" s="854"/>
      <c r="BD24" s="854"/>
      <c r="BE24" s="854"/>
      <c r="BF24" s="854">
        <v>88.5</v>
      </c>
      <c r="BG24" s="854"/>
      <c r="BH24" s="854"/>
      <c r="BI24" s="854"/>
      <c r="BJ24" s="854"/>
    </row>
    <row r="25" spans="2:62" ht="8.1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2:62">
      <c r="B26" s="411" t="s">
        <v>677</v>
      </c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855" t="s">
        <v>643</v>
      </c>
      <c r="S26" s="855"/>
      <c r="T26" s="855"/>
      <c r="U26" s="855"/>
      <c r="V26" s="855"/>
      <c r="W26" s="855"/>
      <c r="X26" s="855"/>
      <c r="Y26" s="855"/>
      <c r="Z26" s="855"/>
      <c r="AA26" s="855"/>
      <c r="AB26" s="855"/>
      <c r="AC26" s="855"/>
      <c r="AD26" s="855"/>
      <c r="AE26" s="855"/>
      <c r="AF26" s="855"/>
      <c r="AG26" s="855"/>
      <c r="AH26" s="855"/>
      <c r="AI26" s="855"/>
      <c r="AJ26" s="855"/>
      <c r="AK26" s="855"/>
      <c r="AL26" s="855"/>
      <c r="AM26" s="855"/>
      <c r="AN26" s="855"/>
      <c r="AO26" s="855"/>
      <c r="AP26" s="855"/>
      <c r="AQ26" s="855"/>
      <c r="AR26" s="855"/>
      <c r="AS26" s="855"/>
      <c r="AT26" s="855"/>
      <c r="AU26" s="855"/>
      <c r="AV26" s="855"/>
      <c r="AW26" s="855"/>
      <c r="AX26" s="855"/>
      <c r="AY26" s="855"/>
      <c r="AZ26" s="855"/>
      <c r="BA26" s="855"/>
      <c r="BB26" s="855"/>
      <c r="BC26" s="855"/>
      <c r="BD26" s="855"/>
      <c r="BE26" s="855"/>
      <c r="BF26" s="855"/>
      <c r="BG26" s="855"/>
      <c r="BH26" s="855"/>
      <c r="BI26" s="855"/>
      <c r="BJ26" s="858"/>
    </row>
    <row r="27" spans="2:62">
      <c r="B27" s="412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 t="s">
        <v>672</v>
      </c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385"/>
      <c r="AL27" s="385"/>
      <c r="AM27" s="385"/>
      <c r="AN27" s="385"/>
      <c r="AO27" s="385"/>
      <c r="AP27" s="385"/>
      <c r="AQ27" s="385"/>
      <c r="AR27" s="385"/>
      <c r="AS27" s="385"/>
      <c r="AT27" s="385"/>
      <c r="AU27" s="385"/>
      <c r="AV27" s="385" t="s">
        <v>671</v>
      </c>
      <c r="AW27" s="385"/>
      <c r="AX27" s="385"/>
      <c r="AY27" s="385"/>
      <c r="AZ27" s="385"/>
      <c r="BA27" s="385"/>
      <c r="BB27" s="385"/>
      <c r="BC27" s="385"/>
      <c r="BD27" s="385"/>
      <c r="BE27" s="385"/>
      <c r="BF27" s="385"/>
      <c r="BG27" s="385"/>
      <c r="BH27" s="385"/>
      <c r="BI27" s="385"/>
      <c r="BJ27" s="388"/>
    </row>
    <row r="28" spans="2:62">
      <c r="B28" s="412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 t="s">
        <v>685</v>
      </c>
      <c r="S28" s="385"/>
      <c r="T28" s="385"/>
      <c r="U28" s="385"/>
      <c r="V28" s="385"/>
      <c r="W28" s="385" t="s">
        <v>684</v>
      </c>
      <c r="X28" s="385"/>
      <c r="Y28" s="385"/>
      <c r="Z28" s="385"/>
      <c r="AA28" s="385"/>
      <c r="AB28" s="385" t="s">
        <v>683</v>
      </c>
      <c r="AC28" s="385"/>
      <c r="AD28" s="385"/>
      <c r="AE28" s="385"/>
      <c r="AF28" s="385"/>
      <c r="AG28" s="385" t="s">
        <v>692</v>
      </c>
      <c r="AH28" s="385"/>
      <c r="AI28" s="385"/>
      <c r="AJ28" s="385"/>
      <c r="AK28" s="385"/>
      <c r="AL28" s="385" t="s">
        <v>691</v>
      </c>
      <c r="AM28" s="385"/>
      <c r="AN28" s="385"/>
      <c r="AO28" s="385"/>
      <c r="AP28" s="385"/>
      <c r="AQ28" s="385" t="s">
        <v>690</v>
      </c>
      <c r="AR28" s="385"/>
      <c r="AS28" s="385"/>
      <c r="AT28" s="385"/>
      <c r="AU28" s="385"/>
      <c r="AV28" s="385" t="s">
        <v>685</v>
      </c>
      <c r="AW28" s="385"/>
      <c r="AX28" s="385"/>
      <c r="AY28" s="385"/>
      <c r="AZ28" s="385"/>
      <c r="BA28" s="385" t="s">
        <v>684</v>
      </c>
      <c r="BB28" s="385"/>
      <c r="BC28" s="385"/>
      <c r="BD28" s="385"/>
      <c r="BE28" s="385"/>
      <c r="BF28" s="385" t="s">
        <v>683</v>
      </c>
      <c r="BG28" s="385"/>
      <c r="BH28" s="385"/>
      <c r="BI28" s="385"/>
      <c r="BJ28" s="388"/>
    </row>
    <row r="29" spans="2:62" ht="8.1" customHeight="1">
      <c r="Q29" s="21"/>
    </row>
    <row r="30" spans="2:62">
      <c r="C30" s="162"/>
      <c r="D30" s="389" t="s">
        <v>825</v>
      </c>
      <c r="E30" s="389"/>
      <c r="F30" s="389"/>
      <c r="G30" s="389"/>
      <c r="Q30" s="22"/>
    </row>
    <row r="31" spans="2:62">
      <c r="E31" s="389" t="s">
        <v>7</v>
      </c>
      <c r="F31" s="389"/>
      <c r="G31" s="389"/>
      <c r="H31" s="389"/>
      <c r="I31" s="380">
        <v>14</v>
      </c>
      <c r="J31" s="380"/>
      <c r="K31" s="380"/>
      <c r="L31" s="380" t="s">
        <v>438</v>
      </c>
      <c r="M31" s="380"/>
      <c r="N31" s="380"/>
      <c r="O31" s="380"/>
      <c r="Q31" s="22"/>
      <c r="R31" s="857">
        <v>116</v>
      </c>
      <c r="S31" s="856"/>
      <c r="T31" s="856"/>
      <c r="U31" s="856"/>
      <c r="V31" s="856"/>
      <c r="W31" s="856">
        <v>122</v>
      </c>
      <c r="X31" s="856"/>
      <c r="Y31" s="856"/>
      <c r="Z31" s="856"/>
      <c r="AA31" s="856"/>
      <c r="AB31" s="856">
        <v>127.6</v>
      </c>
      <c r="AC31" s="856"/>
      <c r="AD31" s="856"/>
      <c r="AE31" s="856"/>
      <c r="AF31" s="856"/>
      <c r="AG31" s="856">
        <v>133.69999999999999</v>
      </c>
      <c r="AH31" s="856"/>
      <c r="AI31" s="856"/>
      <c r="AJ31" s="856"/>
      <c r="AK31" s="856"/>
      <c r="AL31" s="856">
        <v>140</v>
      </c>
      <c r="AM31" s="856"/>
      <c r="AN31" s="856"/>
      <c r="AO31" s="856"/>
      <c r="AP31" s="856"/>
      <c r="AQ31" s="856">
        <v>146.80000000000001</v>
      </c>
      <c r="AR31" s="856"/>
      <c r="AS31" s="856"/>
      <c r="AT31" s="856"/>
      <c r="AU31" s="856"/>
      <c r="AV31" s="856">
        <v>152.69999999999999</v>
      </c>
      <c r="AW31" s="856"/>
      <c r="AX31" s="856"/>
      <c r="AY31" s="856"/>
      <c r="AZ31" s="856"/>
      <c r="BA31" s="856">
        <v>155.80000000000001</v>
      </c>
      <c r="BB31" s="856"/>
      <c r="BC31" s="856"/>
      <c r="BD31" s="856"/>
      <c r="BE31" s="856"/>
      <c r="BF31" s="856">
        <v>157.4</v>
      </c>
      <c r="BG31" s="856"/>
      <c r="BH31" s="856"/>
      <c r="BI31" s="856"/>
      <c r="BJ31" s="856"/>
    </row>
    <row r="32" spans="2:62">
      <c r="I32" s="380">
        <v>19</v>
      </c>
      <c r="J32" s="380"/>
      <c r="K32" s="380"/>
      <c r="Q32" s="22"/>
      <c r="R32" s="857">
        <v>115.9</v>
      </c>
      <c r="S32" s="856"/>
      <c r="T32" s="856"/>
      <c r="U32" s="856"/>
      <c r="V32" s="856"/>
      <c r="W32" s="856">
        <v>121.7</v>
      </c>
      <c r="X32" s="856"/>
      <c r="Y32" s="856"/>
      <c r="Z32" s="856"/>
      <c r="AA32" s="856"/>
      <c r="AB32" s="856">
        <v>127.7</v>
      </c>
      <c r="AC32" s="856"/>
      <c r="AD32" s="856"/>
      <c r="AE32" s="856"/>
      <c r="AF32" s="856"/>
      <c r="AG32" s="856">
        <v>133.5</v>
      </c>
      <c r="AH32" s="856"/>
      <c r="AI32" s="856"/>
      <c r="AJ32" s="856"/>
      <c r="AK32" s="856"/>
      <c r="AL32" s="856">
        <v>140.4</v>
      </c>
      <c r="AM32" s="856"/>
      <c r="AN32" s="856"/>
      <c r="AO32" s="856"/>
      <c r="AP32" s="856"/>
      <c r="AQ32" s="856">
        <v>147.1</v>
      </c>
      <c r="AR32" s="856"/>
      <c r="AS32" s="856"/>
      <c r="AT32" s="856"/>
      <c r="AU32" s="856"/>
      <c r="AV32" s="856">
        <v>152.4</v>
      </c>
      <c r="AW32" s="856"/>
      <c r="AX32" s="856"/>
      <c r="AY32" s="856"/>
      <c r="AZ32" s="856"/>
      <c r="BA32" s="856">
        <v>155.5</v>
      </c>
      <c r="BB32" s="856"/>
      <c r="BC32" s="856"/>
      <c r="BD32" s="856"/>
      <c r="BE32" s="856"/>
      <c r="BF32" s="856">
        <v>157.1</v>
      </c>
      <c r="BG32" s="856"/>
      <c r="BH32" s="856"/>
      <c r="BI32" s="856"/>
      <c r="BJ32" s="856"/>
    </row>
    <row r="33" spans="2:62">
      <c r="I33" s="392">
        <v>24</v>
      </c>
      <c r="J33" s="392"/>
      <c r="K33" s="392"/>
      <c r="Q33" s="22"/>
      <c r="R33" s="853">
        <v>115.9</v>
      </c>
      <c r="S33" s="854"/>
      <c r="T33" s="854"/>
      <c r="U33" s="854"/>
      <c r="V33" s="854"/>
      <c r="W33" s="854">
        <v>121.8</v>
      </c>
      <c r="X33" s="854"/>
      <c r="Y33" s="854"/>
      <c r="Z33" s="854"/>
      <c r="AA33" s="854"/>
      <c r="AB33" s="854">
        <v>127.4</v>
      </c>
      <c r="AC33" s="854"/>
      <c r="AD33" s="854"/>
      <c r="AE33" s="854"/>
      <c r="AF33" s="854"/>
      <c r="AG33" s="854">
        <v>133.80000000000001</v>
      </c>
      <c r="AH33" s="854"/>
      <c r="AI33" s="854"/>
      <c r="AJ33" s="854"/>
      <c r="AK33" s="854"/>
      <c r="AL33" s="854">
        <v>140.1</v>
      </c>
      <c r="AM33" s="854"/>
      <c r="AN33" s="854"/>
      <c r="AO33" s="854"/>
      <c r="AP33" s="854"/>
      <c r="AQ33" s="854">
        <v>146.80000000000001</v>
      </c>
      <c r="AR33" s="854"/>
      <c r="AS33" s="854"/>
      <c r="AT33" s="854"/>
      <c r="AU33" s="854"/>
      <c r="AV33" s="854">
        <v>152.19999999999999</v>
      </c>
      <c r="AW33" s="854"/>
      <c r="AX33" s="854"/>
      <c r="AY33" s="854"/>
      <c r="AZ33" s="854"/>
      <c r="BA33" s="854">
        <v>155.6</v>
      </c>
      <c r="BB33" s="854"/>
      <c r="BC33" s="854"/>
      <c r="BD33" s="854"/>
      <c r="BE33" s="854"/>
      <c r="BF33" s="854">
        <v>157.19999999999999</v>
      </c>
      <c r="BG33" s="854"/>
      <c r="BH33" s="854"/>
      <c r="BI33" s="854"/>
      <c r="BJ33" s="854"/>
    </row>
    <row r="34" spans="2:62" ht="8.1" customHeight="1">
      <c r="Q34" s="22"/>
    </row>
    <row r="35" spans="2:62">
      <c r="D35" s="389" t="s">
        <v>824</v>
      </c>
      <c r="E35" s="389"/>
      <c r="F35" s="389"/>
      <c r="G35" s="389"/>
      <c r="Q35" s="22"/>
    </row>
    <row r="36" spans="2:62">
      <c r="E36" s="389" t="s">
        <v>7</v>
      </c>
      <c r="F36" s="389"/>
      <c r="G36" s="389"/>
      <c r="H36" s="389"/>
      <c r="I36" s="380">
        <v>14</v>
      </c>
      <c r="J36" s="380"/>
      <c r="K36" s="380"/>
      <c r="L36" s="380" t="s">
        <v>438</v>
      </c>
      <c r="M36" s="380"/>
      <c r="N36" s="380"/>
      <c r="O36" s="380"/>
      <c r="Q36" s="22"/>
      <c r="R36" s="857">
        <v>21.1</v>
      </c>
      <c r="S36" s="857"/>
      <c r="T36" s="857"/>
      <c r="U36" s="857"/>
      <c r="V36" s="857"/>
      <c r="W36" s="856">
        <v>23.8</v>
      </c>
      <c r="X36" s="856"/>
      <c r="Y36" s="856"/>
      <c r="Z36" s="856"/>
      <c r="AA36" s="856"/>
      <c r="AB36" s="856">
        <v>26.8</v>
      </c>
      <c r="AC36" s="856"/>
      <c r="AD36" s="856"/>
      <c r="AE36" s="856"/>
      <c r="AF36" s="856"/>
      <c r="AG36" s="856">
        <v>30.5</v>
      </c>
      <c r="AH36" s="856"/>
      <c r="AI36" s="856"/>
      <c r="AJ36" s="856"/>
      <c r="AK36" s="856"/>
      <c r="AL36" s="856">
        <v>34.5</v>
      </c>
      <c r="AM36" s="856"/>
      <c r="AN36" s="856"/>
      <c r="AO36" s="856"/>
      <c r="AP36" s="856"/>
      <c r="AQ36" s="856">
        <v>39.6</v>
      </c>
      <c r="AR36" s="856"/>
      <c r="AS36" s="856"/>
      <c r="AT36" s="856"/>
      <c r="AU36" s="856"/>
      <c r="AV36" s="856">
        <v>44.7</v>
      </c>
      <c r="AW36" s="856"/>
      <c r="AX36" s="856"/>
      <c r="AY36" s="856"/>
      <c r="AZ36" s="856"/>
      <c r="BA36" s="856">
        <v>48.3</v>
      </c>
      <c r="BB36" s="856"/>
      <c r="BC36" s="856"/>
      <c r="BD36" s="856"/>
      <c r="BE36" s="856"/>
      <c r="BF36" s="856">
        <v>50.8</v>
      </c>
      <c r="BG36" s="856"/>
      <c r="BH36" s="856"/>
      <c r="BI36" s="856"/>
      <c r="BJ36" s="856"/>
    </row>
    <row r="37" spans="2:62">
      <c r="I37" s="380">
        <v>19</v>
      </c>
      <c r="J37" s="380"/>
      <c r="K37" s="380"/>
      <c r="Q37" s="22"/>
      <c r="R37" s="857">
        <v>21</v>
      </c>
      <c r="S37" s="857"/>
      <c r="T37" s="857"/>
      <c r="U37" s="857"/>
      <c r="V37" s="857"/>
      <c r="W37" s="856">
        <v>23.3</v>
      </c>
      <c r="X37" s="856"/>
      <c r="Y37" s="856"/>
      <c r="Z37" s="856"/>
      <c r="AA37" s="856"/>
      <c r="AB37" s="856">
        <v>26.5</v>
      </c>
      <c r="AC37" s="856"/>
      <c r="AD37" s="856"/>
      <c r="AE37" s="856"/>
      <c r="AF37" s="856"/>
      <c r="AG37" s="856">
        <v>29.7</v>
      </c>
      <c r="AH37" s="856"/>
      <c r="AI37" s="856"/>
      <c r="AJ37" s="856"/>
      <c r="AK37" s="856"/>
      <c r="AL37" s="856">
        <v>33.9</v>
      </c>
      <c r="AM37" s="856"/>
      <c r="AN37" s="856"/>
      <c r="AO37" s="856"/>
      <c r="AP37" s="856"/>
      <c r="AQ37" s="856">
        <v>38.799999999999997</v>
      </c>
      <c r="AR37" s="856"/>
      <c r="AS37" s="856"/>
      <c r="AT37" s="856"/>
      <c r="AU37" s="856"/>
      <c r="AV37" s="856">
        <v>44.3</v>
      </c>
      <c r="AW37" s="856"/>
      <c r="AX37" s="856"/>
      <c r="AY37" s="856"/>
      <c r="AZ37" s="856"/>
      <c r="BA37" s="856">
        <v>47.9</v>
      </c>
      <c r="BB37" s="856"/>
      <c r="BC37" s="856"/>
      <c r="BD37" s="856"/>
      <c r="BE37" s="856"/>
      <c r="BF37" s="856">
        <v>50.7</v>
      </c>
      <c r="BG37" s="856"/>
      <c r="BH37" s="856"/>
      <c r="BI37" s="856"/>
      <c r="BJ37" s="856"/>
    </row>
    <row r="38" spans="2:62">
      <c r="I38" s="392">
        <v>24</v>
      </c>
      <c r="J38" s="392"/>
      <c r="K38" s="392"/>
      <c r="Q38" s="22"/>
      <c r="R38" s="853">
        <v>20.7</v>
      </c>
      <c r="S38" s="853"/>
      <c r="T38" s="853"/>
      <c r="U38" s="853"/>
      <c r="V38" s="853"/>
      <c r="W38" s="854">
        <v>23.4</v>
      </c>
      <c r="X38" s="854"/>
      <c r="Y38" s="854"/>
      <c r="Z38" s="854"/>
      <c r="AA38" s="854"/>
      <c r="AB38" s="854">
        <v>26.2</v>
      </c>
      <c r="AC38" s="854"/>
      <c r="AD38" s="854"/>
      <c r="AE38" s="854"/>
      <c r="AF38" s="854"/>
      <c r="AG38" s="854">
        <v>29.9</v>
      </c>
      <c r="AH38" s="854"/>
      <c r="AI38" s="854"/>
      <c r="AJ38" s="854"/>
      <c r="AK38" s="854"/>
      <c r="AL38" s="854">
        <v>33.6</v>
      </c>
      <c r="AM38" s="854"/>
      <c r="AN38" s="854"/>
      <c r="AO38" s="854"/>
      <c r="AP38" s="854"/>
      <c r="AQ38" s="854">
        <v>38.4</v>
      </c>
      <c r="AR38" s="854"/>
      <c r="AS38" s="854"/>
      <c r="AT38" s="854"/>
      <c r="AU38" s="854"/>
      <c r="AV38" s="854">
        <v>43.3</v>
      </c>
      <c r="AW38" s="854"/>
      <c r="AX38" s="854"/>
      <c r="AY38" s="854"/>
      <c r="AZ38" s="854"/>
      <c r="BA38" s="854">
        <v>47.1</v>
      </c>
      <c r="BB38" s="854"/>
      <c r="BC38" s="854"/>
      <c r="BD38" s="854"/>
      <c r="BE38" s="854"/>
      <c r="BF38" s="854">
        <v>49.8</v>
      </c>
      <c r="BG38" s="854"/>
      <c r="BH38" s="854"/>
      <c r="BI38" s="854"/>
      <c r="BJ38" s="854"/>
    </row>
    <row r="39" spans="2:62" ht="8.1" customHeight="1">
      <c r="Q39" s="22"/>
    </row>
    <row r="40" spans="2:62">
      <c r="D40" s="389" t="s">
        <v>823</v>
      </c>
      <c r="E40" s="389"/>
      <c r="F40" s="389"/>
      <c r="G40" s="389"/>
      <c r="Q40" s="22"/>
    </row>
    <row r="41" spans="2:62">
      <c r="E41" s="389" t="s">
        <v>7</v>
      </c>
      <c r="F41" s="389"/>
      <c r="G41" s="389"/>
      <c r="H41" s="389"/>
      <c r="I41" s="380">
        <v>14</v>
      </c>
      <c r="J41" s="380"/>
      <c r="K41" s="380"/>
      <c r="L41" s="380" t="s">
        <v>438</v>
      </c>
      <c r="M41" s="380"/>
      <c r="N41" s="380"/>
      <c r="O41" s="380"/>
      <c r="Q41" s="22"/>
      <c r="R41" s="857">
        <v>64.599999999999994</v>
      </c>
      <c r="S41" s="856"/>
      <c r="T41" s="856"/>
      <c r="U41" s="856"/>
      <c r="V41" s="856"/>
      <c r="W41" s="856">
        <v>67.5</v>
      </c>
      <c r="X41" s="856"/>
      <c r="Y41" s="856"/>
      <c r="Z41" s="856"/>
      <c r="AA41" s="856"/>
      <c r="AB41" s="856">
        <v>70.2</v>
      </c>
      <c r="AC41" s="856"/>
      <c r="AD41" s="856"/>
      <c r="AE41" s="856"/>
      <c r="AF41" s="856"/>
      <c r="AG41" s="856">
        <v>73</v>
      </c>
      <c r="AH41" s="856"/>
      <c r="AI41" s="856"/>
      <c r="AJ41" s="856"/>
      <c r="AK41" s="856"/>
      <c r="AL41" s="856">
        <v>76</v>
      </c>
      <c r="AM41" s="856"/>
      <c r="AN41" s="856"/>
      <c r="AO41" s="856"/>
      <c r="AP41" s="856"/>
      <c r="AQ41" s="856">
        <v>79.3</v>
      </c>
      <c r="AR41" s="856"/>
      <c r="AS41" s="856"/>
      <c r="AT41" s="856"/>
      <c r="AU41" s="856"/>
      <c r="AV41" s="856">
        <v>82.7</v>
      </c>
      <c r="AW41" s="856"/>
      <c r="AX41" s="856"/>
      <c r="AY41" s="856"/>
      <c r="AZ41" s="856"/>
      <c r="BA41" s="856">
        <v>84.2</v>
      </c>
      <c r="BB41" s="856"/>
      <c r="BC41" s="856"/>
      <c r="BD41" s="856"/>
      <c r="BE41" s="856"/>
      <c r="BF41" s="856">
        <v>85</v>
      </c>
      <c r="BG41" s="856"/>
      <c r="BH41" s="856"/>
      <c r="BI41" s="856"/>
      <c r="BJ41" s="856"/>
    </row>
    <row r="42" spans="2:62">
      <c r="I42" s="380">
        <v>19</v>
      </c>
      <c r="J42" s="380"/>
      <c r="K42" s="380"/>
      <c r="Q42" s="22"/>
      <c r="R42" s="857">
        <v>64.5</v>
      </c>
      <c r="S42" s="856"/>
      <c r="T42" s="856"/>
      <c r="U42" s="856"/>
      <c r="V42" s="856"/>
      <c r="W42" s="856">
        <v>67.400000000000006</v>
      </c>
      <c r="X42" s="856"/>
      <c r="Y42" s="856"/>
      <c r="Z42" s="856"/>
      <c r="AA42" s="856"/>
      <c r="AB42" s="856">
        <v>70.2</v>
      </c>
      <c r="AC42" s="856"/>
      <c r="AD42" s="856"/>
      <c r="AE42" s="856"/>
      <c r="AF42" s="856"/>
      <c r="AG42" s="856">
        <v>72.8</v>
      </c>
      <c r="AH42" s="856"/>
      <c r="AI42" s="856"/>
      <c r="AJ42" s="856"/>
      <c r="AK42" s="856"/>
      <c r="AL42" s="856">
        <v>76</v>
      </c>
      <c r="AM42" s="856"/>
      <c r="AN42" s="856"/>
      <c r="AO42" s="856"/>
      <c r="AP42" s="856"/>
      <c r="AQ42" s="856">
        <v>79.5</v>
      </c>
      <c r="AR42" s="856"/>
      <c r="AS42" s="856"/>
      <c r="AT42" s="856"/>
      <c r="AU42" s="856"/>
      <c r="AV42" s="856">
        <v>82.2</v>
      </c>
      <c r="AW42" s="856"/>
      <c r="AX42" s="856"/>
      <c r="AY42" s="856"/>
      <c r="AZ42" s="856"/>
      <c r="BA42" s="856">
        <v>84.1</v>
      </c>
      <c r="BB42" s="856"/>
      <c r="BC42" s="856"/>
      <c r="BD42" s="856"/>
      <c r="BE42" s="856"/>
      <c r="BF42" s="856">
        <v>85.1</v>
      </c>
      <c r="BG42" s="856"/>
      <c r="BH42" s="856"/>
      <c r="BI42" s="856"/>
      <c r="BJ42" s="856"/>
    </row>
    <row r="43" spans="2:62">
      <c r="I43" s="392">
        <v>24</v>
      </c>
      <c r="J43" s="392"/>
      <c r="K43" s="392"/>
      <c r="Q43" s="22"/>
      <c r="R43" s="853">
        <v>63.9</v>
      </c>
      <c r="S43" s="854"/>
      <c r="T43" s="854"/>
      <c r="U43" s="854"/>
      <c r="V43" s="854"/>
      <c r="W43" s="854">
        <v>67.400000000000006</v>
      </c>
      <c r="X43" s="854"/>
      <c r="Y43" s="854"/>
      <c r="Z43" s="854"/>
      <c r="AA43" s="854"/>
      <c r="AB43" s="854">
        <v>69.8</v>
      </c>
      <c r="AC43" s="854"/>
      <c r="AD43" s="854"/>
      <c r="AE43" s="854"/>
      <c r="AF43" s="854"/>
      <c r="AG43" s="854">
        <v>72.900000000000006</v>
      </c>
      <c r="AH43" s="854"/>
      <c r="AI43" s="854"/>
      <c r="AJ43" s="854"/>
      <c r="AK43" s="854"/>
      <c r="AL43" s="854">
        <v>75.8</v>
      </c>
      <c r="AM43" s="854"/>
      <c r="AN43" s="854"/>
      <c r="AO43" s="854"/>
      <c r="AP43" s="854"/>
      <c r="AQ43" s="854">
        <v>79.2</v>
      </c>
      <c r="AR43" s="854"/>
      <c r="AS43" s="854"/>
      <c r="AT43" s="854"/>
      <c r="AU43" s="854"/>
      <c r="AV43" s="854">
        <v>82.2</v>
      </c>
      <c r="AW43" s="854"/>
      <c r="AX43" s="854"/>
      <c r="AY43" s="854"/>
      <c r="AZ43" s="854"/>
      <c r="BA43" s="854">
        <v>84.2</v>
      </c>
      <c r="BB43" s="854"/>
      <c r="BC43" s="854"/>
      <c r="BD43" s="854"/>
      <c r="BE43" s="854"/>
      <c r="BF43" s="854">
        <v>85.3</v>
      </c>
      <c r="BG43" s="854"/>
      <c r="BH43" s="854"/>
      <c r="BI43" s="854"/>
      <c r="BJ43" s="854"/>
    </row>
    <row r="44" spans="2:62" ht="8.1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3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2:62">
      <c r="C45" s="400" t="s">
        <v>8</v>
      </c>
      <c r="D45" s="400"/>
      <c r="E45" s="297" t="s">
        <v>821</v>
      </c>
      <c r="F45" s="2" t="s">
        <v>822</v>
      </c>
    </row>
    <row r="46" spans="2:62">
      <c r="B46" s="404" t="s">
        <v>9</v>
      </c>
      <c r="C46" s="404"/>
      <c r="D46" s="404"/>
      <c r="E46" s="297" t="s">
        <v>821</v>
      </c>
      <c r="F46" s="2" t="s">
        <v>820</v>
      </c>
    </row>
    <row r="49" spans="2:62" ht="18" customHeight="1">
      <c r="B49" s="379" t="s">
        <v>819</v>
      </c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9"/>
      <c r="AC49" s="379"/>
      <c r="AD49" s="379"/>
      <c r="AE49" s="379"/>
      <c r="AF49" s="379"/>
      <c r="AG49" s="379"/>
      <c r="AH49" s="379"/>
      <c r="AI49" s="379"/>
      <c r="AJ49" s="379"/>
      <c r="AK49" s="379"/>
      <c r="AL49" s="379"/>
      <c r="AM49" s="379"/>
      <c r="AN49" s="379"/>
      <c r="AO49" s="379"/>
      <c r="AP49" s="379"/>
      <c r="AQ49" s="379"/>
      <c r="AR49" s="379"/>
      <c r="AS49" s="379"/>
      <c r="AT49" s="379"/>
      <c r="AU49" s="379"/>
      <c r="AV49" s="379"/>
      <c r="AW49" s="379"/>
      <c r="AX49" s="379"/>
      <c r="AY49" s="379"/>
      <c r="AZ49" s="379"/>
      <c r="BA49" s="379"/>
      <c r="BB49" s="379"/>
      <c r="BC49" s="379"/>
      <c r="BD49" s="379"/>
      <c r="BE49" s="379"/>
      <c r="BF49" s="379"/>
      <c r="BG49" s="379"/>
      <c r="BH49" s="379"/>
      <c r="BI49" s="379"/>
      <c r="BJ49" s="379"/>
    </row>
    <row r="50" spans="2:62" ht="12.95" customHeight="1">
      <c r="BJ50" s="20" t="s">
        <v>678</v>
      </c>
    </row>
    <row r="51" spans="2:62">
      <c r="B51" s="411" t="s">
        <v>677</v>
      </c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855" t="s">
        <v>238</v>
      </c>
      <c r="V51" s="855"/>
      <c r="W51" s="855"/>
      <c r="X51" s="855"/>
      <c r="Y51" s="855"/>
      <c r="Z51" s="855"/>
      <c r="AA51" s="855"/>
      <c r="AB51" s="855" t="s">
        <v>644</v>
      </c>
      <c r="AC51" s="855"/>
      <c r="AD51" s="855"/>
      <c r="AE51" s="855"/>
      <c r="AF51" s="855"/>
      <c r="AG51" s="855"/>
      <c r="AH51" s="855"/>
      <c r="AI51" s="855" t="s">
        <v>643</v>
      </c>
      <c r="AJ51" s="855"/>
      <c r="AK51" s="855"/>
      <c r="AL51" s="855"/>
      <c r="AM51" s="855"/>
      <c r="AN51" s="855"/>
      <c r="AO51" s="855"/>
      <c r="AP51" s="386" t="s">
        <v>818</v>
      </c>
      <c r="AQ51" s="386"/>
      <c r="AR51" s="386"/>
      <c r="AS51" s="386"/>
      <c r="AT51" s="386"/>
      <c r="AU51" s="386"/>
      <c r="AV51" s="386"/>
      <c r="AW51" s="386"/>
      <c r="AX51" s="386"/>
      <c r="AY51" s="386"/>
      <c r="AZ51" s="386"/>
      <c r="BA51" s="386"/>
      <c r="BB51" s="386"/>
      <c r="BC51" s="386"/>
      <c r="BD51" s="386"/>
      <c r="BE51" s="386"/>
      <c r="BF51" s="386"/>
      <c r="BG51" s="386"/>
      <c r="BH51" s="386"/>
      <c r="BI51" s="386"/>
      <c r="BJ51" s="387"/>
    </row>
    <row r="52" spans="2:62">
      <c r="B52" s="412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470"/>
      <c r="V52" s="470"/>
      <c r="W52" s="470"/>
      <c r="X52" s="470"/>
      <c r="Y52" s="470"/>
      <c r="Z52" s="470"/>
      <c r="AA52" s="470"/>
      <c r="AB52" s="470"/>
      <c r="AC52" s="470"/>
      <c r="AD52" s="470"/>
      <c r="AE52" s="470"/>
      <c r="AF52" s="470"/>
      <c r="AG52" s="470"/>
      <c r="AH52" s="470"/>
      <c r="AI52" s="470"/>
      <c r="AJ52" s="470"/>
      <c r="AK52" s="470"/>
      <c r="AL52" s="470"/>
      <c r="AM52" s="470"/>
      <c r="AN52" s="470"/>
      <c r="AO52" s="470"/>
      <c r="AP52" s="470" t="s">
        <v>817</v>
      </c>
      <c r="AQ52" s="470"/>
      <c r="AR52" s="470"/>
      <c r="AS52" s="470"/>
      <c r="AT52" s="470"/>
      <c r="AU52" s="470"/>
      <c r="AV52" s="470"/>
      <c r="AW52" s="470" t="s">
        <v>816</v>
      </c>
      <c r="AX52" s="470"/>
      <c r="AY52" s="470"/>
      <c r="AZ52" s="470"/>
      <c r="BA52" s="470"/>
      <c r="BB52" s="470"/>
      <c r="BC52" s="470"/>
      <c r="BD52" s="470" t="s">
        <v>815</v>
      </c>
      <c r="BE52" s="470"/>
      <c r="BF52" s="470"/>
      <c r="BG52" s="470"/>
      <c r="BH52" s="470"/>
      <c r="BI52" s="470"/>
      <c r="BJ52" s="471"/>
    </row>
    <row r="53" spans="2:62" ht="8.1" customHeight="1">
      <c r="T53" s="21"/>
    </row>
    <row r="54" spans="2:62">
      <c r="C54" s="807" t="s">
        <v>814</v>
      </c>
      <c r="D54" s="807"/>
      <c r="E54" s="807"/>
      <c r="F54" s="807"/>
      <c r="G54" s="807"/>
      <c r="H54" s="807"/>
      <c r="I54" s="807"/>
      <c r="J54" s="807"/>
      <c r="K54" s="807"/>
      <c r="L54" s="807"/>
      <c r="M54" s="807"/>
      <c r="N54" s="807"/>
      <c r="O54" s="807"/>
      <c r="P54" s="807"/>
      <c r="Q54" s="807"/>
      <c r="R54" s="807"/>
      <c r="S54" s="807"/>
      <c r="T54" s="22"/>
      <c r="U54" s="396">
        <v>5168</v>
      </c>
      <c r="V54" s="396"/>
      <c r="W54" s="396"/>
      <c r="X54" s="396"/>
      <c r="Y54" s="396"/>
      <c r="Z54" s="396"/>
      <c r="AA54" s="396"/>
      <c r="AB54" s="396">
        <v>2657</v>
      </c>
      <c r="AC54" s="396"/>
      <c r="AD54" s="396"/>
      <c r="AE54" s="396"/>
      <c r="AF54" s="396"/>
      <c r="AG54" s="396"/>
      <c r="AH54" s="396"/>
      <c r="AI54" s="396">
        <v>2511</v>
      </c>
      <c r="AJ54" s="396"/>
      <c r="AK54" s="396"/>
      <c r="AL54" s="396"/>
      <c r="AM54" s="396"/>
      <c r="AN54" s="396"/>
      <c r="AO54" s="396"/>
      <c r="AP54" s="396">
        <v>4714</v>
      </c>
      <c r="AQ54" s="396"/>
      <c r="AR54" s="396"/>
      <c r="AS54" s="396"/>
      <c r="AT54" s="396"/>
      <c r="AU54" s="396"/>
      <c r="AV54" s="396"/>
      <c r="AW54" s="396">
        <v>0</v>
      </c>
      <c r="AX54" s="396"/>
      <c r="AY54" s="396"/>
      <c r="AZ54" s="396"/>
      <c r="BA54" s="396"/>
      <c r="BB54" s="396"/>
      <c r="BC54" s="396"/>
      <c r="BD54" s="396">
        <v>454</v>
      </c>
      <c r="BE54" s="396"/>
      <c r="BF54" s="396"/>
      <c r="BG54" s="396"/>
      <c r="BH54" s="396"/>
      <c r="BI54" s="396"/>
      <c r="BJ54" s="396"/>
    </row>
    <row r="55" spans="2:62" ht="8.1" customHeight="1">
      <c r="T55" s="2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42"/>
      <c r="AW55" s="342"/>
      <c r="AX55" s="342"/>
      <c r="AY55" s="342"/>
      <c r="AZ55" s="342"/>
      <c r="BA55" s="342"/>
      <c r="BB55" s="342"/>
      <c r="BC55" s="342"/>
      <c r="BD55" s="342"/>
      <c r="BE55" s="342"/>
      <c r="BF55" s="342"/>
      <c r="BG55" s="342"/>
      <c r="BH55" s="342"/>
      <c r="BI55" s="342"/>
      <c r="BJ55" s="342"/>
    </row>
    <row r="56" spans="2:62">
      <c r="C56" s="389" t="s">
        <v>813</v>
      </c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55"/>
      <c r="U56" s="391">
        <v>5095</v>
      </c>
      <c r="V56" s="391"/>
      <c r="W56" s="391"/>
      <c r="X56" s="391"/>
      <c r="Y56" s="391"/>
      <c r="Z56" s="391"/>
      <c r="AA56" s="391"/>
      <c r="AB56" s="391">
        <v>2602</v>
      </c>
      <c r="AC56" s="391"/>
      <c r="AD56" s="391"/>
      <c r="AE56" s="391"/>
      <c r="AF56" s="391"/>
      <c r="AG56" s="391"/>
      <c r="AH56" s="391"/>
      <c r="AI56" s="391">
        <v>2493</v>
      </c>
      <c r="AJ56" s="391"/>
      <c r="AK56" s="391"/>
      <c r="AL56" s="391"/>
      <c r="AM56" s="391"/>
      <c r="AN56" s="391"/>
      <c r="AO56" s="391"/>
      <c r="AP56" s="391">
        <v>4641</v>
      </c>
      <c r="AQ56" s="391"/>
      <c r="AR56" s="391"/>
      <c r="AS56" s="391"/>
      <c r="AT56" s="391"/>
      <c r="AU56" s="391"/>
      <c r="AV56" s="391"/>
      <c r="AW56" s="391">
        <v>0</v>
      </c>
      <c r="AX56" s="391"/>
      <c r="AY56" s="391"/>
      <c r="AZ56" s="391"/>
      <c r="BA56" s="391"/>
      <c r="BB56" s="391"/>
      <c r="BC56" s="391"/>
      <c r="BD56" s="391">
        <v>454</v>
      </c>
      <c r="BE56" s="391"/>
      <c r="BF56" s="391"/>
      <c r="BG56" s="391"/>
      <c r="BH56" s="391"/>
      <c r="BI56" s="391"/>
      <c r="BJ56" s="391"/>
    </row>
    <row r="57" spans="2:62" ht="8.1" customHeight="1">
      <c r="T57" s="2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/>
      <c r="AP57" s="342"/>
      <c r="AQ57" s="342"/>
      <c r="AR57" s="342"/>
      <c r="AS57" s="342"/>
      <c r="AT57" s="342"/>
      <c r="AU57" s="342"/>
      <c r="AV57" s="342"/>
      <c r="AW57" s="342"/>
      <c r="AX57" s="342"/>
      <c r="AY57" s="342"/>
      <c r="AZ57" s="342"/>
      <c r="BA57" s="342"/>
      <c r="BB57" s="342"/>
      <c r="BC57" s="342"/>
      <c r="BD57" s="342"/>
      <c r="BE57" s="342"/>
      <c r="BF57" s="342"/>
      <c r="BG57" s="342"/>
      <c r="BH57" s="342"/>
      <c r="BI57" s="342"/>
      <c r="BJ57" s="342"/>
    </row>
    <row r="58" spans="2:62">
      <c r="C58" s="162"/>
      <c r="D58" s="162"/>
      <c r="E58" s="162"/>
      <c r="F58" s="162"/>
      <c r="G58" s="162"/>
      <c r="H58" s="389" t="s">
        <v>812</v>
      </c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355"/>
      <c r="U58" s="391">
        <v>4771</v>
      </c>
      <c r="V58" s="391"/>
      <c r="W58" s="391"/>
      <c r="X58" s="391"/>
      <c r="Y58" s="391"/>
      <c r="Z58" s="391"/>
      <c r="AA58" s="391"/>
      <c r="AB58" s="391">
        <v>2418</v>
      </c>
      <c r="AC58" s="391"/>
      <c r="AD58" s="391"/>
      <c r="AE58" s="391"/>
      <c r="AF58" s="391"/>
      <c r="AG58" s="391"/>
      <c r="AH58" s="391"/>
      <c r="AI58" s="391">
        <v>2353</v>
      </c>
      <c r="AJ58" s="391"/>
      <c r="AK58" s="391"/>
      <c r="AL58" s="391"/>
      <c r="AM58" s="391"/>
      <c r="AN58" s="391"/>
      <c r="AO58" s="391"/>
      <c r="AP58" s="391">
        <v>4317</v>
      </c>
      <c r="AQ58" s="391"/>
      <c r="AR58" s="391"/>
      <c r="AS58" s="391"/>
      <c r="AT58" s="391"/>
      <c r="AU58" s="391"/>
      <c r="AV58" s="391"/>
      <c r="AW58" s="391">
        <v>0</v>
      </c>
      <c r="AX58" s="391"/>
      <c r="AY58" s="391"/>
      <c r="AZ58" s="391"/>
      <c r="BA58" s="391"/>
      <c r="BB58" s="391"/>
      <c r="BC58" s="391"/>
      <c r="BD58" s="391">
        <v>454</v>
      </c>
      <c r="BE58" s="391"/>
      <c r="BF58" s="391"/>
      <c r="BG58" s="391"/>
      <c r="BH58" s="391"/>
      <c r="BI58" s="391"/>
      <c r="BJ58" s="391"/>
    </row>
    <row r="59" spans="2:62" ht="8.1" customHeight="1">
      <c r="T59" s="22"/>
      <c r="U59" s="342"/>
      <c r="V59" s="342"/>
      <c r="W59" s="342"/>
      <c r="X59" s="342"/>
      <c r="Y59" s="342"/>
      <c r="Z59" s="342"/>
      <c r="AA59" s="342"/>
      <c r="AB59" s="342"/>
      <c r="AC59" s="342"/>
      <c r="AD59" s="342"/>
      <c r="AE59" s="342"/>
      <c r="AF59" s="342"/>
      <c r="AG59" s="342"/>
      <c r="AH59" s="342"/>
      <c r="AI59" s="342"/>
      <c r="AJ59" s="342"/>
      <c r="AK59" s="342"/>
      <c r="AL59" s="342"/>
      <c r="AM59" s="342"/>
      <c r="AN59" s="342"/>
      <c r="AO59" s="342"/>
      <c r="AP59" s="342"/>
      <c r="AQ59" s="342"/>
      <c r="AR59" s="342"/>
      <c r="AS59" s="342"/>
      <c r="AT59" s="342"/>
      <c r="AU59" s="342"/>
      <c r="AV59" s="342"/>
      <c r="AW59" s="342"/>
      <c r="AX59" s="342"/>
      <c r="AY59" s="342"/>
      <c r="AZ59" s="342"/>
      <c r="BA59" s="342"/>
      <c r="BB59" s="342"/>
      <c r="BC59" s="342"/>
      <c r="BD59" s="342"/>
      <c r="BE59" s="342"/>
      <c r="BF59" s="342"/>
      <c r="BG59" s="342"/>
      <c r="BH59" s="342"/>
      <c r="BI59" s="342"/>
      <c r="BJ59" s="342"/>
    </row>
    <row r="60" spans="2:62">
      <c r="C60" s="162"/>
      <c r="D60" s="162"/>
      <c r="E60" s="162"/>
      <c r="F60" s="162"/>
      <c r="G60" s="162"/>
      <c r="H60" s="389" t="s">
        <v>196</v>
      </c>
      <c r="I60" s="768"/>
      <c r="J60" s="768"/>
      <c r="K60" s="768"/>
      <c r="L60" s="768"/>
      <c r="M60" s="768"/>
      <c r="N60" s="768"/>
      <c r="O60" s="768"/>
      <c r="P60" s="768"/>
      <c r="Q60" s="768"/>
      <c r="R60" s="768"/>
      <c r="S60" s="768"/>
      <c r="T60" s="355"/>
      <c r="U60" s="391">
        <v>258</v>
      </c>
      <c r="V60" s="391"/>
      <c r="W60" s="391"/>
      <c r="X60" s="391"/>
      <c r="Y60" s="391"/>
      <c r="Z60" s="391"/>
      <c r="AA60" s="391"/>
      <c r="AB60" s="391">
        <v>137</v>
      </c>
      <c r="AC60" s="391"/>
      <c r="AD60" s="391"/>
      <c r="AE60" s="391"/>
      <c r="AF60" s="391"/>
      <c r="AG60" s="391"/>
      <c r="AH60" s="391"/>
      <c r="AI60" s="391">
        <v>121</v>
      </c>
      <c r="AJ60" s="391"/>
      <c r="AK60" s="391"/>
      <c r="AL60" s="391"/>
      <c r="AM60" s="391"/>
      <c r="AN60" s="391"/>
      <c r="AO60" s="391"/>
      <c r="AP60" s="391">
        <v>258</v>
      </c>
      <c r="AQ60" s="391"/>
      <c r="AR60" s="391"/>
      <c r="AS60" s="391"/>
      <c r="AT60" s="391"/>
      <c r="AU60" s="391"/>
      <c r="AV60" s="391"/>
      <c r="AW60" s="391">
        <v>0</v>
      </c>
      <c r="AX60" s="391"/>
      <c r="AY60" s="391"/>
      <c r="AZ60" s="391"/>
      <c r="BA60" s="391"/>
      <c r="BB60" s="391"/>
      <c r="BC60" s="391"/>
      <c r="BD60" s="391">
        <v>0</v>
      </c>
      <c r="BE60" s="391"/>
      <c r="BF60" s="391"/>
      <c r="BG60" s="391"/>
      <c r="BH60" s="391"/>
      <c r="BI60" s="391"/>
      <c r="BJ60" s="391"/>
    </row>
    <row r="61" spans="2:62" ht="8.1" customHeight="1">
      <c r="T61" s="22"/>
      <c r="U61" s="342"/>
      <c r="V61" s="342"/>
      <c r="W61" s="342"/>
      <c r="X61" s="342"/>
      <c r="Y61" s="342"/>
      <c r="Z61" s="342"/>
      <c r="AA61" s="342"/>
      <c r="AB61" s="342"/>
      <c r="AC61" s="342"/>
      <c r="AD61" s="342"/>
      <c r="AE61" s="342"/>
      <c r="AF61" s="342"/>
      <c r="AG61" s="342"/>
      <c r="AH61" s="342"/>
      <c r="AI61" s="342"/>
      <c r="AJ61" s="342"/>
      <c r="AK61" s="342"/>
      <c r="AL61" s="342"/>
      <c r="AM61" s="342"/>
      <c r="AN61" s="342"/>
      <c r="AO61" s="342"/>
      <c r="AP61" s="342"/>
      <c r="AQ61" s="342"/>
      <c r="AR61" s="342"/>
      <c r="AS61" s="342"/>
      <c r="AT61" s="342"/>
      <c r="AU61" s="342"/>
      <c r="AV61" s="342"/>
      <c r="AW61" s="342"/>
      <c r="AX61" s="342"/>
      <c r="AY61" s="342"/>
      <c r="AZ61" s="342"/>
      <c r="BA61" s="342"/>
      <c r="BB61" s="342"/>
      <c r="BC61" s="342"/>
      <c r="BD61" s="342"/>
      <c r="BE61" s="342"/>
      <c r="BF61" s="342"/>
      <c r="BG61" s="342"/>
      <c r="BH61" s="342"/>
      <c r="BI61" s="342"/>
      <c r="BJ61" s="342"/>
    </row>
    <row r="62" spans="2:62">
      <c r="C62" s="389" t="s">
        <v>811</v>
      </c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89"/>
      <c r="T62" s="355"/>
      <c r="U62" s="391">
        <v>24</v>
      </c>
      <c r="V62" s="391"/>
      <c r="W62" s="391"/>
      <c r="X62" s="391"/>
      <c r="Y62" s="391"/>
      <c r="Z62" s="391"/>
      <c r="AA62" s="391"/>
      <c r="AB62" s="391">
        <v>13</v>
      </c>
      <c r="AC62" s="391"/>
      <c r="AD62" s="391"/>
      <c r="AE62" s="391"/>
      <c r="AF62" s="391"/>
      <c r="AG62" s="391"/>
      <c r="AH62" s="391"/>
      <c r="AI62" s="391">
        <v>11</v>
      </c>
      <c r="AJ62" s="391"/>
      <c r="AK62" s="391"/>
      <c r="AL62" s="391"/>
      <c r="AM62" s="391"/>
      <c r="AN62" s="391"/>
      <c r="AO62" s="391"/>
      <c r="AP62" s="391">
        <v>24</v>
      </c>
      <c r="AQ62" s="391"/>
      <c r="AR62" s="391"/>
      <c r="AS62" s="391"/>
      <c r="AT62" s="391"/>
      <c r="AU62" s="391"/>
      <c r="AV62" s="391"/>
      <c r="AW62" s="391">
        <v>0</v>
      </c>
      <c r="AX62" s="391"/>
      <c r="AY62" s="391"/>
      <c r="AZ62" s="391"/>
      <c r="BA62" s="391"/>
      <c r="BB62" s="391"/>
      <c r="BC62" s="391"/>
      <c r="BD62" s="391">
        <v>0</v>
      </c>
      <c r="BE62" s="391"/>
      <c r="BF62" s="391"/>
      <c r="BG62" s="391"/>
      <c r="BH62" s="391"/>
      <c r="BI62" s="391"/>
      <c r="BJ62" s="391"/>
    </row>
    <row r="63" spans="2:62" ht="8.1" customHeight="1">
      <c r="T63" s="22"/>
      <c r="U63" s="342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  <c r="AI63" s="342"/>
      <c r="AJ63" s="342"/>
      <c r="AK63" s="342"/>
      <c r="AL63" s="342"/>
      <c r="AM63" s="342"/>
      <c r="AN63" s="342"/>
      <c r="AO63" s="342"/>
      <c r="AP63" s="342"/>
      <c r="AQ63" s="342"/>
      <c r="AR63" s="342"/>
      <c r="AS63" s="342"/>
      <c r="AT63" s="342"/>
      <c r="AU63" s="342"/>
      <c r="AV63" s="342"/>
      <c r="AW63" s="342"/>
      <c r="AX63" s="342"/>
      <c r="AY63" s="342"/>
      <c r="AZ63" s="342"/>
      <c r="BA63" s="342"/>
      <c r="BB63" s="342"/>
      <c r="BC63" s="342"/>
      <c r="BD63" s="342"/>
      <c r="BE63" s="342"/>
      <c r="BF63" s="342"/>
      <c r="BG63" s="342"/>
      <c r="BH63" s="342"/>
      <c r="BI63" s="342"/>
      <c r="BJ63" s="342"/>
    </row>
    <row r="64" spans="2:62">
      <c r="C64" s="389" t="s">
        <v>810</v>
      </c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55"/>
      <c r="U64" s="391">
        <v>2</v>
      </c>
      <c r="V64" s="391"/>
      <c r="W64" s="391"/>
      <c r="X64" s="391"/>
      <c r="Y64" s="391"/>
      <c r="Z64" s="391"/>
      <c r="AA64" s="391"/>
      <c r="AB64" s="391">
        <v>2</v>
      </c>
      <c r="AC64" s="391"/>
      <c r="AD64" s="391"/>
      <c r="AE64" s="391"/>
      <c r="AF64" s="391"/>
      <c r="AG64" s="391"/>
      <c r="AH64" s="391"/>
      <c r="AI64" s="391">
        <v>0</v>
      </c>
      <c r="AJ64" s="391"/>
      <c r="AK64" s="391"/>
      <c r="AL64" s="391"/>
      <c r="AM64" s="391"/>
      <c r="AN64" s="391"/>
      <c r="AO64" s="391"/>
      <c r="AP64" s="391">
        <v>2</v>
      </c>
      <c r="AQ64" s="391"/>
      <c r="AR64" s="391"/>
      <c r="AS64" s="391"/>
      <c r="AT64" s="391"/>
      <c r="AU64" s="391"/>
      <c r="AV64" s="391"/>
      <c r="AW64" s="391">
        <v>0</v>
      </c>
      <c r="AX64" s="391"/>
      <c r="AY64" s="391"/>
      <c r="AZ64" s="391"/>
      <c r="BA64" s="391"/>
      <c r="BB64" s="391"/>
      <c r="BC64" s="391"/>
      <c r="BD64" s="391">
        <v>0</v>
      </c>
      <c r="BE64" s="391"/>
      <c r="BF64" s="391"/>
      <c r="BG64" s="391"/>
      <c r="BH64" s="391"/>
      <c r="BI64" s="391"/>
      <c r="BJ64" s="391"/>
    </row>
    <row r="65" spans="2:62" ht="8.1" customHeight="1">
      <c r="T65" s="2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42"/>
      <c r="BC65" s="342"/>
      <c r="BD65" s="342"/>
      <c r="BE65" s="342"/>
      <c r="BF65" s="342"/>
      <c r="BG65" s="342"/>
      <c r="BH65" s="342"/>
      <c r="BI65" s="342"/>
      <c r="BJ65" s="342"/>
    </row>
    <row r="66" spans="2:62">
      <c r="C66" s="389" t="s">
        <v>809</v>
      </c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55"/>
      <c r="U66" s="391">
        <v>2</v>
      </c>
      <c r="V66" s="391"/>
      <c r="W66" s="391"/>
      <c r="X66" s="391"/>
      <c r="Y66" s="391"/>
      <c r="Z66" s="391"/>
      <c r="AA66" s="391"/>
      <c r="AB66" s="391">
        <v>1</v>
      </c>
      <c r="AC66" s="391"/>
      <c r="AD66" s="391"/>
      <c r="AE66" s="391"/>
      <c r="AF66" s="391"/>
      <c r="AG66" s="391"/>
      <c r="AH66" s="391"/>
      <c r="AI66" s="391">
        <v>1</v>
      </c>
      <c r="AJ66" s="391"/>
      <c r="AK66" s="391"/>
      <c r="AL66" s="391"/>
      <c r="AM66" s="391"/>
      <c r="AN66" s="391"/>
      <c r="AO66" s="391"/>
      <c r="AP66" s="391">
        <v>2</v>
      </c>
      <c r="AQ66" s="391"/>
      <c r="AR66" s="391"/>
      <c r="AS66" s="391"/>
      <c r="AT66" s="391"/>
      <c r="AU66" s="391"/>
      <c r="AV66" s="391"/>
      <c r="AW66" s="391">
        <v>0</v>
      </c>
      <c r="AX66" s="391"/>
      <c r="AY66" s="391"/>
      <c r="AZ66" s="391"/>
      <c r="BA66" s="391"/>
      <c r="BB66" s="391"/>
      <c r="BC66" s="391"/>
      <c r="BD66" s="391">
        <v>0</v>
      </c>
      <c r="BE66" s="391"/>
      <c r="BF66" s="391"/>
      <c r="BG66" s="391"/>
      <c r="BH66" s="391"/>
      <c r="BI66" s="391"/>
      <c r="BJ66" s="391"/>
    </row>
    <row r="67" spans="2:62" ht="8.1" customHeight="1">
      <c r="T67" s="2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342"/>
      <c r="AJ67" s="342"/>
      <c r="AK67" s="342"/>
      <c r="AL67" s="342"/>
      <c r="AM67" s="342"/>
      <c r="AN67" s="342"/>
      <c r="AO67" s="342"/>
      <c r="AP67" s="342"/>
      <c r="AQ67" s="342"/>
      <c r="AR67" s="342"/>
      <c r="AS67" s="342"/>
      <c r="AT67" s="342"/>
      <c r="AU67" s="342"/>
      <c r="AV67" s="342"/>
      <c r="AW67" s="342"/>
      <c r="AX67" s="342"/>
      <c r="AY67" s="342"/>
      <c r="AZ67" s="342"/>
      <c r="BA67" s="342"/>
      <c r="BB67" s="342"/>
      <c r="BC67" s="342"/>
      <c r="BD67" s="342"/>
      <c r="BE67" s="342"/>
      <c r="BF67" s="342"/>
      <c r="BG67" s="342"/>
      <c r="BH67" s="342"/>
      <c r="BI67" s="342"/>
      <c r="BJ67" s="342"/>
    </row>
    <row r="68" spans="2:62">
      <c r="C68" s="389" t="s">
        <v>808</v>
      </c>
      <c r="D68" s="389"/>
      <c r="E68" s="389"/>
      <c r="F68" s="389"/>
      <c r="G68" s="389"/>
      <c r="H68" s="389"/>
      <c r="I68" s="389"/>
      <c r="J68" s="389"/>
      <c r="K68" s="389"/>
      <c r="L68" s="389"/>
      <c r="M68" s="389"/>
      <c r="N68" s="389"/>
      <c r="O68" s="389"/>
      <c r="P68" s="389"/>
      <c r="Q68" s="389"/>
      <c r="R68" s="389"/>
      <c r="S68" s="389"/>
      <c r="T68" s="355"/>
      <c r="U68" s="391">
        <v>15</v>
      </c>
      <c r="V68" s="391"/>
      <c r="W68" s="391"/>
      <c r="X68" s="391"/>
      <c r="Y68" s="391"/>
      <c r="Z68" s="391"/>
      <c r="AA68" s="391"/>
      <c r="AB68" s="391">
        <v>14</v>
      </c>
      <c r="AC68" s="391"/>
      <c r="AD68" s="391"/>
      <c r="AE68" s="391"/>
      <c r="AF68" s="391"/>
      <c r="AG68" s="391"/>
      <c r="AH68" s="391"/>
      <c r="AI68" s="391">
        <v>1</v>
      </c>
      <c r="AJ68" s="391"/>
      <c r="AK68" s="391"/>
      <c r="AL68" s="391"/>
      <c r="AM68" s="391"/>
      <c r="AN68" s="391"/>
      <c r="AO68" s="391"/>
      <c r="AP68" s="391">
        <v>15</v>
      </c>
      <c r="AQ68" s="391"/>
      <c r="AR68" s="391"/>
      <c r="AS68" s="391"/>
      <c r="AT68" s="391"/>
      <c r="AU68" s="391"/>
      <c r="AV68" s="391"/>
      <c r="AW68" s="391">
        <v>0</v>
      </c>
      <c r="AX68" s="391"/>
      <c r="AY68" s="391"/>
      <c r="AZ68" s="391"/>
      <c r="BA68" s="391"/>
      <c r="BB68" s="391"/>
      <c r="BC68" s="391"/>
      <c r="BD68" s="391">
        <v>0</v>
      </c>
      <c r="BE68" s="391"/>
      <c r="BF68" s="391"/>
      <c r="BG68" s="391"/>
      <c r="BH68" s="391"/>
      <c r="BI68" s="391"/>
      <c r="BJ68" s="391"/>
    </row>
    <row r="69" spans="2:62" ht="8.1" customHeight="1">
      <c r="T69" s="22"/>
      <c r="U69" s="342"/>
      <c r="V69" s="342"/>
      <c r="W69" s="342"/>
      <c r="X69" s="342"/>
      <c r="Y69" s="342"/>
      <c r="Z69" s="342"/>
      <c r="AA69" s="342"/>
      <c r="AB69" s="342"/>
      <c r="AC69" s="342"/>
      <c r="AD69" s="342"/>
      <c r="AE69" s="342"/>
      <c r="AF69" s="342"/>
      <c r="AG69" s="342"/>
      <c r="AH69" s="342"/>
      <c r="AI69" s="342"/>
      <c r="AJ69" s="342"/>
      <c r="AK69" s="342"/>
      <c r="AL69" s="342"/>
      <c r="AM69" s="342"/>
      <c r="AN69" s="342"/>
      <c r="AO69" s="342"/>
      <c r="AP69" s="342"/>
      <c r="AQ69" s="342"/>
      <c r="AR69" s="342"/>
      <c r="AS69" s="342"/>
      <c r="AT69" s="342"/>
      <c r="AU69" s="342"/>
      <c r="AV69" s="342"/>
      <c r="AW69" s="342"/>
      <c r="AX69" s="342"/>
      <c r="AY69" s="342"/>
      <c r="AZ69" s="342"/>
      <c r="BA69" s="342"/>
      <c r="BB69" s="342"/>
      <c r="BC69" s="342"/>
      <c r="BD69" s="342"/>
      <c r="BE69" s="342"/>
      <c r="BF69" s="342"/>
      <c r="BG69" s="342"/>
      <c r="BH69" s="342"/>
      <c r="BI69" s="342"/>
      <c r="BJ69" s="342"/>
    </row>
    <row r="70" spans="2:62">
      <c r="C70" s="389" t="s">
        <v>807</v>
      </c>
      <c r="D70" s="389"/>
      <c r="E70" s="389"/>
      <c r="F70" s="389"/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89"/>
      <c r="R70" s="389"/>
      <c r="S70" s="389"/>
      <c r="T70" s="355"/>
      <c r="U70" s="391">
        <v>29</v>
      </c>
      <c r="V70" s="391"/>
      <c r="W70" s="391"/>
      <c r="X70" s="391"/>
      <c r="Y70" s="391"/>
      <c r="Z70" s="391"/>
      <c r="AA70" s="391"/>
      <c r="AB70" s="391">
        <v>24</v>
      </c>
      <c r="AC70" s="391"/>
      <c r="AD70" s="391"/>
      <c r="AE70" s="391"/>
      <c r="AF70" s="391"/>
      <c r="AG70" s="391"/>
      <c r="AH70" s="391"/>
      <c r="AI70" s="391">
        <v>5</v>
      </c>
      <c r="AJ70" s="391"/>
      <c r="AK70" s="391"/>
      <c r="AL70" s="391"/>
      <c r="AM70" s="391"/>
      <c r="AN70" s="391"/>
      <c r="AO70" s="391"/>
      <c r="AP70" s="391">
        <v>29</v>
      </c>
      <c r="AQ70" s="391"/>
      <c r="AR70" s="391"/>
      <c r="AS70" s="391"/>
      <c r="AT70" s="391"/>
      <c r="AU70" s="391"/>
      <c r="AV70" s="391"/>
      <c r="AW70" s="391">
        <v>0</v>
      </c>
      <c r="AX70" s="391"/>
      <c r="AY70" s="391"/>
      <c r="AZ70" s="391"/>
      <c r="BA70" s="391"/>
      <c r="BB70" s="391"/>
      <c r="BC70" s="391"/>
      <c r="BD70" s="391">
        <v>0</v>
      </c>
      <c r="BE70" s="391"/>
      <c r="BF70" s="391"/>
      <c r="BG70" s="391"/>
      <c r="BH70" s="391"/>
      <c r="BI70" s="391"/>
      <c r="BJ70" s="391"/>
    </row>
    <row r="71" spans="2:62" ht="8.1" customHeight="1">
      <c r="T71" s="2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  <c r="AX71" s="342"/>
      <c r="AY71" s="342"/>
      <c r="AZ71" s="342"/>
      <c r="BA71" s="342"/>
      <c r="BB71" s="342"/>
      <c r="BC71" s="342"/>
      <c r="BD71" s="342"/>
      <c r="BE71" s="342"/>
      <c r="BF71" s="342"/>
      <c r="BG71" s="342"/>
      <c r="BH71" s="342"/>
      <c r="BI71" s="342"/>
      <c r="BJ71" s="342"/>
    </row>
    <row r="72" spans="2:62">
      <c r="C72" s="389" t="s">
        <v>806</v>
      </c>
      <c r="D72" s="389"/>
      <c r="E72" s="389"/>
      <c r="F72" s="389"/>
      <c r="G72" s="389"/>
      <c r="H72" s="389"/>
      <c r="I72" s="389"/>
      <c r="J72" s="389"/>
      <c r="K72" s="389"/>
      <c r="L72" s="389"/>
      <c r="M72" s="389"/>
      <c r="N72" s="389"/>
      <c r="O72" s="389"/>
      <c r="P72" s="389"/>
      <c r="Q72" s="389"/>
      <c r="R72" s="389"/>
      <c r="S72" s="389"/>
      <c r="T72" s="355"/>
      <c r="U72" s="391">
        <v>1</v>
      </c>
      <c r="V72" s="391"/>
      <c r="W72" s="391"/>
      <c r="X72" s="391"/>
      <c r="Y72" s="391"/>
      <c r="Z72" s="391"/>
      <c r="AA72" s="391"/>
      <c r="AB72" s="391">
        <v>1</v>
      </c>
      <c r="AC72" s="391"/>
      <c r="AD72" s="391"/>
      <c r="AE72" s="391"/>
      <c r="AF72" s="391"/>
      <c r="AG72" s="391"/>
      <c r="AH72" s="391"/>
      <c r="AI72" s="391">
        <v>0</v>
      </c>
      <c r="AJ72" s="391"/>
      <c r="AK72" s="391"/>
      <c r="AL72" s="391"/>
      <c r="AM72" s="391"/>
      <c r="AN72" s="391"/>
      <c r="AO72" s="391"/>
      <c r="AP72" s="391">
        <v>1</v>
      </c>
      <c r="AQ72" s="391"/>
      <c r="AR72" s="391"/>
      <c r="AS72" s="391"/>
      <c r="AT72" s="391"/>
      <c r="AU72" s="391"/>
      <c r="AV72" s="391"/>
      <c r="AW72" s="391">
        <v>0</v>
      </c>
      <c r="AX72" s="391"/>
      <c r="AY72" s="391"/>
      <c r="AZ72" s="391"/>
      <c r="BA72" s="391"/>
      <c r="BB72" s="391"/>
      <c r="BC72" s="391"/>
      <c r="BD72" s="391">
        <v>0</v>
      </c>
      <c r="BE72" s="391"/>
      <c r="BF72" s="391"/>
      <c r="BG72" s="391"/>
      <c r="BH72" s="391"/>
      <c r="BI72" s="391"/>
      <c r="BJ72" s="391"/>
    </row>
    <row r="73" spans="2:62" ht="8.1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3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</row>
    <row r="74" spans="2:62">
      <c r="B74" s="410" t="s">
        <v>9</v>
      </c>
      <c r="C74" s="410"/>
      <c r="D74" s="410"/>
      <c r="E74" s="297" t="s">
        <v>805</v>
      </c>
      <c r="F74" s="2" t="s">
        <v>804</v>
      </c>
    </row>
  </sheetData>
  <mergeCells count="308">
    <mergeCell ref="R8:AU8"/>
    <mergeCell ref="AV8:BJ8"/>
    <mergeCell ref="D11:G11"/>
    <mergeCell ref="B5:BJ5"/>
    <mergeCell ref="B7:Q9"/>
    <mergeCell ref="R7:BJ7"/>
    <mergeCell ref="R9:V9"/>
    <mergeCell ref="W9:AA9"/>
    <mergeCell ref="AQ9:AU9"/>
    <mergeCell ref="AV9:AZ9"/>
    <mergeCell ref="E12:H12"/>
    <mergeCell ref="L12:O12"/>
    <mergeCell ref="I12:K12"/>
    <mergeCell ref="AB12:AF12"/>
    <mergeCell ref="AG12:AK12"/>
    <mergeCell ref="BA9:BE9"/>
    <mergeCell ref="AL12:AP12"/>
    <mergeCell ref="AQ12:AU12"/>
    <mergeCell ref="AV12:AZ12"/>
    <mergeCell ref="BA12:BE12"/>
    <mergeCell ref="BF9:BJ9"/>
    <mergeCell ref="I13:K13"/>
    <mergeCell ref="I14:K14"/>
    <mergeCell ref="R12:V12"/>
    <mergeCell ref="R13:V13"/>
    <mergeCell ref="R14:V14"/>
    <mergeCell ref="W12:AA12"/>
    <mergeCell ref="AB9:AF9"/>
    <mergeCell ref="AG9:AK9"/>
    <mergeCell ref="AL9:AP9"/>
    <mergeCell ref="BF12:BJ12"/>
    <mergeCell ref="W13:AA13"/>
    <mergeCell ref="AB13:AF13"/>
    <mergeCell ref="AG13:AK13"/>
    <mergeCell ref="AL13:AP13"/>
    <mergeCell ref="AQ13:AU13"/>
    <mergeCell ref="AV13:AZ13"/>
    <mergeCell ref="BA13:BE13"/>
    <mergeCell ref="BF13:BJ13"/>
    <mergeCell ref="BA14:BE14"/>
    <mergeCell ref="BF14:BJ14"/>
    <mergeCell ref="D16:G16"/>
    <mergeCell ref="E17:H17"/>
    <mergeCell ref="I17:K17"/>
    <mergeCell ref="L17:O17"/>
    <mergeCell ref="R17:V17"/>
    <mergeCell ref="W17:AA17"/>
    <mergeCell ref="AB17:AF17"/>
    <mergeCell ref="AG17:AK17"/>
    <mergeCell ref="W14:AA14"/>
    <mergeCell ref="AB14:AF14"/>
    <mergeCell ref="AG14:AK14"/>
    <mergeCell ref="AL14:AP14"/>
    <mergeCell ref="AQ14:AU14"/>
    <mergeCell ref="AV14:AZ14"/>
    <mergeCell ref="AL17:AP17"/>
    <mergeCell ref="AQ17:AU17"/>
    <mergeCell ref="AV17:AZ17"/>
    <mergeCell ref="BA17:BE17"/>
    <mergeCell ref="BF17:BJ17"/>
    <mergeCell ref="I18:K18"/>
    <mergeCell ref="R18:V18"/>
    <mergeCell ref="W18:AA18"/>
    <mergeCell ref="AB18:AF18"/>
    <mergeCell ref="AG18:AK18"/>
    <mergeCell ref="AL18:AP18"/>
    <mergeCell ref="AQ18:AU18"/>
    <mergeCell ref="AV18:AZ18"/>
    <mergeCell ref="BA18:BE18"/>
    <mergeCell ref="BF18:BJ18"/>
    <mergeCell ref="I19:K19"/>
    <mergeCell ref="R19:V19"/>
    <mergeCell ref="W19:AA19"/>
    <mergeCell ref="AB19:AF19"/>
    <mergeCell ref="AG19:AK19"/>
    <mergeCell ref="E22:H22"/>
    <mergeCell ref="I22:K22"/>
    <mergeCell ref="L22:O22"/>
    <mergeCell ref="R22:V22"/>
    <mergeCell ref="W22:AA22"/>
    <mergeCell ref="BF22:BJ22"/>
    <mergeCell ref="AL19:AP19"/>
    <mergeCell ref="AQ19:AU19"/>
    <mergeCell ref="AV19:AZ19"/>
    <mergeCell ref="BA19:BE19"/>
    <mergeCell ref="BF19:BJ19"/>
    <mergeCell ref="D21:G21"/>
    <mergeCell ref="AB22:AF22"/>
    <mergeCell ref="AG22:AK22"/>
    <mergeCell ref="AL22:AP22"/>
    <mergeCell ref="AQ22:AU22"/>
    <mergeCell ref="AV22:AZ22"/>
    <mergeCell ref="BA22:BE22"/>
    <mergeCell ref="I23:K23"/>
    <mergeCell ref="R23:V23"/>
    <mergeCell ref="W23:AA23"/>
    <mergeCell ref="AB23:AF23"/>
    <mergeCell ref="AG23:AK23"/>
    <mergeCell ref="AL23:AP23"/>
    <mergeCell ref="BF28:BJ28"/>
    <mergeCell ref="I24:K24"/>
    <mergeCell ref="R24:V24"/>
    <mergeCell ref="W24:AA24"/>
    <mergeCell ref="AB24:AF24"/>
    <mergeCell ref="AG24:AK24"/>
    <mergeCell ref="BF23:BJ23"/>
    <mergeCell ref="BF24:BJ24"/>
    <mergeCell ref="B26:Q28"/>
    <mergeCell ref="R26:BJ26"/>
    <mergeCell ref="R27:AU27"/>
    <mergeCell ref="AV27:BJ27"/>
    <mergeCell ref="R28:V28"/>
    <mergeCell ref="W28:AA28"/>
    <mergeCell ref="AB28:AF28"/>
    <mergeCell ref="AG28:AK28"/>
    <mergeCell ref="AQ23:AU23"/>
    <mergeCell ref="AV23:AZ23"/>
    <mergeCell ref="BA23:BE23"/>
    <mergeCell ref="AL24:AP24"/>
    <mergeCell ref="AQ24:AU24"/>
    <mergeCell ref="AV24:AZ24"/>
    <mergeCell ref="BA24:BE24"/>
    <mergeCell ref="D30:G30"/>
    <mergeCell ref="E31:H31"/>
    <mergeCell ref="I31:K31"/>
    <mergeCell ref="L31:O31"/>
    <mergeCell ref="R31:V31"/>
    <mergeCell ref="W31:AA31"/>
    <mergeCell ref="AL28:AP28"/>
    <mergeCell ref="AQ28:AU28"/>
    <mergeCell ref="AV28:AZ28"/>
    <mergeCell ref="BA28:BE28"/>
    <mergeCell ref="AB31:AF31"/>
    <mergeCell ref="AG31:AK31"/>
    <mergeCell ref="AL31:AP31"/>
    <mergeCell ref="AQ31:AU31"/>
    <mergeCell ref="AV31:AZ31"/>
    <mergeCell ref="BA31:BE31"/>
    <mergeCell ref="BF31:BJ31"/>
    <mergeCell ref="I32:K32"/>
    <mergeCell ref="R32:V32"/>
    <mergeCell ref="W32:AA32"/>
    <mergeCell ref="AB32:AF32"/>
    <mergeCell ref="AG32:AK32"/>
    <mergeCell ref="AL32:AP32"/>
    <mergeCell ref="AQ32:AU32"/>
    <mergeCell ref="AV32:AZ32"/>
    <mergeCell ref="BA32:BE32"/>
    <mergeCell ref="BF32:BJ32"/>
    <mergeCell ref="BF33:BJ33"/>
    <mergeCell ref="D35:G35"/>
    <mergeCell ref="E36:H36"/>
    <mergeCell ref="I36:K36"/>
    <mergeCell ref="L36:O36"/>
    <mergeCell ref="R36:V36"/>
    <mergeCell ref="W36:AA36"/>
    <mergeCell ref="AB36:AF36"/>
    <mergeCell ref="AG36:AK36"/>
    <mergeCell ref="AL33:AP33"/>
    <mergeCell ref="AQ33:AU33"/>
    <mergeCell ref="AV33:AZ33"/>
    <mergeCell ref="BA33:BE33"/>
    <mergeCell ref="BF37:BJ37"/>
    <mergeCell ref="I38:K38"/>
    <mergeCell ref="R38:V38"/>
    <mergeCell ref="W38:AA38"/>
    <mergeCell ref="AB38:AF38"/>
    <mergeCell ref="AG38:AK38"/>
    <mergeCell ref="AL36:AP36"/>
    <mergeCell ref="AQ36:AU36"/>
    <mergeCell ref="AV36:AZ36"/>
    <mergeCell ref="BA36:BE36"/>
    <mergeCell ref="BF36:BJ36"/>
    <mergeCell ref="I33:K33"/>
    <mergeCell ref="R33:V33"/>
    <mergeCell ref="W33:AA33"/>
    <mergeCell ref="AB33:AF33"/>
    <mergeCell ref="AG33:AK33"/>
    <mergeCell ref="AL37:AP37"/>
    <mergeCell ref="AQ37:AU37"/>
    <mergeCell ref="AV37:AZ37"/>
    <mergeCell ref="BA37:BE37"/>
    <mergeCell ref="BF41:BJ41"/>
    <mergeCell ref="I42:K42"/>
    <mergeCell ref="R42:V42"/>
    <mergeCell ref="W42:AA42"/>
    <mergeCell ref="AB42:AF42"/>
    <mergeCell ref="AG42:AK42"/>
    <mergeCell ref="AL38:AP38"/>
    <mergeCell ref="AQ38:AU38"/>
    <mergeCell ref="AV38:AZ38"/>
    <mergeCell ref="BA38:BE38"/>
    <mergeCell ref="BF38:BJ38"/>
    <mergeCell ref="I37:K37"/>
    <mergeCell ref="R37:V37"/>
    <mergeCell ref="W37:AA37"/>
    <mergeCell ref="AB37:AF37"/>
    <mergeCell ref="AG37:AK37"/>
    <mergeCell ref="BF42:BJ42"/>
    <mergeCell ref="AQ43:AU43"/>
    <mergeCell ref="AV43:AZ43"/>
    <mergeCell ref="BA43:BE43"/>
    <mergeCell ref="D40:G40"/>
    <mergeCell ref="E41:H41"/>
    <mergeCell ref="I41:K41"/>
    <mergeCell ref="L41:O41"/>
    <mergeCell ref="R41:V41"/>
    <mergeCell ref="W41:AA41"/>
    <mergeCell ref="AL42:AP42"/>
    <mergeCell ref="AQ42:AU42"/>
    <mergeCell ref="AV42:AZ42"/>
    <mergeCell ref="BA42:BE42"/>
    <mergeCell ref="AB41:AF41"/>
    <mergeCell ref="AG41:AK41"/>
    <mergeCell ref="AL41:AP41"/>
    <mergeCell ref="AQ41:AU41"/>
    <mergeCell ref="AV41:AZ41"/>
    <mergeCell ref="BA41:BE41"/>
    <mergeCell ref="BF43:BJ43"/>
    <mergeCell ref="C45:D45"/>
    <mergeCell ref="B46:D46"/>
    <mergeCell ref="B49:BJ49"/>
    <mergeCell ref="B51:T52"/>
    <mergeCell ref="U51:AA52"/>
    <mergeCell ref="AB51:AH52"/>
    <mergeCell ref="AI51:AO52"/>
    <mergeCell ref="AP52:AV52"/>
    <mergeCell ref="AW52:BC52"/>
    <mergeCell ref="AP51:BJ51"/>
    <mergeCell ref="C56:S56"/>
    <mergeCell ref="U56:AA56"/>
    <mergeCell ref="AB56:AH56"/>
    <mergeCell ref="AI56:AO56"/>
    <mergeCell ref="AP56:AV56"/>
    <mergeCell ref="AW56:BC56"/>
    <mergeCell ref="I43:K43"/>
    <mergeCell ref="R43:V43"/>
    <mergeCell ref="W43:AA43"/>
    <mergeCell ref="AB43:AF43"/>
    <mergeCell ref="AG43:AK43"/>
    <mergeCell ref="AL43:AP43"/>
    <mergeCell ref="C54:S54"/>
    <mergeCell ref="U54:AA54"/>
    <mergeCell ref="AB54:AH54"/>
    <mergeCell ref="AI54:AO54"/>
    <mergeCell ref="AP54:AV54"/>
    <mergeCell ref="AW54:BC54"/>
    <mergeCell ref="BD62:BJ62"/>
    <mergeCell ref="BD64:BJ64"/>
    <mergeCell ref="BD66:BJ66"/>
    <mergeCell ref="BD56:BJ56"/>
    <mergeCell ref="BD52:BJ52"/>
    <mergeCell ref="BD58:BJ58"/>
    <mergeCell ref="U60:AA60"/>
    <mergeCell ref="AB60:AH60"/>
    <mergeCell ref="AI60:AO60"/>
    <mergeCell ref="AP60:AV60"/>
    <mergeCell ref="AW60:BC60"/>
    <mergeCell ref="BD60:BJ60"/>
    <mergeCell ref="U58:AA58"/>
    <mergeCell ref="BD54:BJ54"/>
    <mergeCell ref="AB66:AH66"/>
    <mergeCell ref="AI66:AO66"/>
    <mergeCell ref="AP66:AV66"/>
    <mergeCell ref="AW66:BC66"/>
    <mergeCell ref="AB58:AH58"/>
    <mergeCell ref="AI58:AO58"/>
    <mergeCell ref="AP58:AV58"/>
    <mergeCell ref="AW58:BC58"/>
    <mergeCell ref="AW68:BC68"/>
    <mergeCell ref="A1:S2"/>
    <mergeCell ref="B74:D74"/>
    <mergeCell ref="H58:S58"/>
    <mergeCell ref="H60:S60"/>
    <mergeCell ref="BD70:BJ70"/>
    <mergeCell ref="C72:S72"/>
    <mergeCell ref="U72:AA72"/>
    <mergeCell ref="AB72:AH72"/>
    <mergeCell ref="AI72:AO72"/>
    <mergeCell ref="AP72:AV72"/>
    <mergeCell ref="C62:S62"/>
    <mergeCell ref="U62:AA62"/>
    <mergeCell ref="AB62:AH62"/>
    <mergeCell ref="AI62:AO62"/>
    <mergeCell ref="AP62:AV62"/>
    <mergeCell ref="AW62:BC62"/>
    <mergeCell ref="C64:S64"/>
    <mergeCell ref="U64:AA64"/>
    <mergeCell ref="AB64:AH64"/>
    <mergeCell ref="AI64:AO64"/>
    <mergeCell ref="AP64:AV64"/>
    <mergeCell ref="AW64:BC64"/>
    <mergeCell ref="C66:S66"/>
    <mergeCell ref="U66:AA66"/>
    <mergeCell ref="C68:S68"/>
    <mergeCell ref="U68:AA68"/>
    <mergeCell ref="AB68:AH68"/>
    <mergeCell ref="AI68:AO68"/>
    <mergeCell ref="AP68:AV68"/>
    <mergeCell ref="AW72:BC72"/>
    <mergeCell ref="BD72:BJ72"/>
    <mergeCell ref="C70:S70"/>
    <mergeCell ref="U70:AA70"/>
    <mergeCell ref="AB70:AH70"/>
    <mergeCell ref="AI70:AO70"/>
    <mergeCell ref="AP70:AV70"/>
    <mergeCell ref="AW70:BC70"/>
    <mergeCell ref="BD68:BJ68"/>
  </mergeCells>
  <phoneticPr fontId="2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1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1:63" ht="11.1" customHeight="1">
      <c r="A1" s="364"/>
      <c r="AS1" s="444">
        <f>'210'!A1+1</f>
        <v>211</v>
      </c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</row>
    <row r="2" spans="1:63" ht="11.1" customHeight="1"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</row>
    <row r="3" spans="1:63" ht="11.1" customHeight="1"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</row>
    <row r="4" spans="1:63" ht="11.1" customHeight="1"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</row>
    <row r="5" spans="1:63" ht="18" customHeight="1">
      <c r="B5" s="379" t="s">
        <v>849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</row>
    <row r="6" spans="1:63" ht="12.95" customHeight="1">
      <c r="BJ6" s="20" t="s">
        <v>678</v>
      </c>
    </row>
    <row r="7" spans="1:63" ht="15.75" customHeight="1">
      <c r="B7" s="411" t="s">
        <v>677</v>
      </c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 t="s">
        <v>18</v>
      </c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 t="s">
        <v>848</v>
      </c>
      <c r="AH7" s="386"/>
      <c r="AI7" s="386"/>
      <c r="AJ7" s="386"/>
      <c r="AK7" s="386"/>
      <c r="AL7" s="386"/>
      <c r="AM7" s="386"/>
      <c r="AN7" s="386"/>
      <c r="AO7" s="386"/>
      <c r="AP7" s="386"/>
      <c r="AQ7" s="386"/>
      <c r="AR7" s="386"/>
      <c r="AS7" s="386"/>
      <c r="AT7" s="386"/>
      <c r="AU7" s="386"/>
      <c r="AV7" s="386" t="s">
        <v>847</v>
      </c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7"/>
    </row>
    <row r="8" spans="1:63" ht="15.75" customHeight="1">
      <c r="B8" s="412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470" t="s">
        <v>238</v>
      </c>
      <c r="S8" s="470"/>
      <c r="T8" s="470"/>
      <c r="U8" s="470"/>
      <c r="V8" s="470"/>
      <c r="W8" s="385" t="s">
        <v>846</v>
      </c>
      <c r="X8" s="385"/>
      <c r="Y8" s="385"/>
      <c r="Z8" s="385"/>
      <c r="AA8" s="385"/>
      <c r="AB8" s="385" t="s">
        <v>626</v>
      </c>
      <c r="AC8" s="385"/>
      <c r="AD8" s="385"/>
      <c r="AE8" s="385"/>
      <c r="AF8" s="385"/>
      <c r="AG8" s="470" t="s">
        <v>238</v>
      </c>
      <c r="AH8" s="470"/>
      <c r="AI8" s="470"/>
      <c r="AJ8" s="470"/>
      <c r="AK8" s="470"/>
      <c r="AL8" s="385" t="s">
        <v>846</v>
      </c>
      <c r="AM8" s="385"/>
      <c r="AN8" s="385"/>
      <c r="AO8" s="385"/>
      <c r="AP8" s="385"/>
      <c r="AQ8" s="385" t="s">
        <v>626</v>
      </c>
      <c r="AR8" s="385"/>
      <c r="AS8" s="385"/>
      <c r="AT8" s="385"/>
      <c r="AU8" s="385"/>
      <c r="AV8" s="470" t="s">
        <v>238</v>
      </c>
      <c r="AW8" s="470"/>
      <c r="AX8" s="470"/>
      <c r="AY8" s="470"/>
      <c r="AZ8" s="470"/>
      <c r="BA8" s="385" t="s">
        <v>846</v>
      </c>
      <c r="BB8" s="385"/>
      <c r="BC8" s="385"/>
      <c r="BD8" s="385"/>
      <c r="BE8" s="385"/>
      <c r="BF8" s="385" t="s">
        <v>626</v>
      </c>
      <c r="BG8" s="385"/>
      <c r="BH8" s="385"/>
      <c r="BI8" s="385"/>
      <c r="BJ8" s="388"/>
    </row>
    <row r="9" spans="1:63">
      <c r="Q9" s="21"/>
    </row>
    <row r="10" spans="1:63">
      <c r="C10" s="389" t="s">
        <v>676</v>
      </c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22"/>
      <c r="R10" s="396">
        <v>14</v>
      </c>
      <c r="S10" s="396"/>
      <c r="T10" s="396"/>
      <c r="U10" s="396"/>
      <c r="V10" s="396"/>
      <c r="W10" s="396">
        <v>9</v>
      </c>
      <c r="X10" s="396"/>
      <c r="Y10" s="396"/>
      <c r="Z10" s="396"/>
      <c r="AA10" s="396"/>
      <c r="AB10" s="396">
        <v>5</v>
      </c>
      <c r="AC10" s="396"/>
      <c r="AD10" s="396"/>
      <c r="AE10" s="396"/>
      <c r="AF10" s="396"/>
      <c r="AG10" s="396">
        <v>14</v>
      </c>
      <c r="AH10" s="396"/>
      <c r="AI10" s="396"/>
      <c r="AJ10" s="396"/>
      <c r="AK10" s="396"/>
      <c r="AL10" s="396">
        <v>9</v>
      </c>
      <c r="AM10" s="396"/>
      <c r="AN10" s="396"/>
      <c r="AO10" s="396"/>
      <c r="AP10" s="396"/>
      <c r="AQ10" s="396">
        <v>5</v>
      </c>
      <c r="AR10" s="396"/>
      <c r="AS10" s="396"/>
      <c r="AT10" s="396"/>
      <c r="AU10" s="396"/>
      <c r="AV10" s="396">
        <v>1</v>
      </c>
      <c r="AW10" s="396"/>
      <c r="AX10" s="396"/>
      <c r="AY10" s="396"/>
      <c r="AZ10" s="396"/>
      <c r="BA10" s="396">
        <v>0</v>
      </c>
      <c r="BB10" s="396"/>
      <c r="BC10" s="396"/>
      <c r="BD10" s="396"/>
      <c r="BE10" s="396"/>
      <c r="BF10" s="396">
        <v>1</v>
      </c>
      <c r="BG10" s="396"/>
      <c r="BH10" s="396"/>
      <c r="BI10" s="396"/>
      <c r="BJ10" s="396"/>
    </row>
    <row r="11" spans="1:63">
      <c r="Q11" s="22"/>
    </row>
    <row r="12" spans="1:63">
      <c r="C12" s="389" t="s">
        <v>652</v>
      </c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55"/>
      <c r="R12" s="859" t="s">
        <v>607</v>
      </c>
      <c r="S12" s="859"/>
      <c r="T12" s="859"/>
      <c r="U12" s="859"/>
      <c r="V12" s="859"/>
      <c r="W12" s="391">
        <v>161</v>
      </c>
      <c r="X12" s="391"/>
      <c r="Y12" s="391"/>
      <c r="Z12" s="391"/>
      <c r="AA12" s="391"/>
      <c r="AB12" s="859" t="s">
        <v>607</v>
      </c>
      <c r="AC12" s="859"/>
      <c r="AD12" s="859"/>
      <c r="AE12" s="859"/>
      <c r="AF12" s="859"/>
      <c r="AG12" s="859" t="s">
        <v>607</v>
      </c>
      <c r="AH12" s="859"/>
      <c r="AI12" s="859"/>
      <c r="AJ12" s="859"/>
      <c r="AK12" s="859"/>
      <c r="AL12" s="859">
        <v>161</v>
      </c>
      <c r="AM12" s="859"/>
      <c r="AN12" s="859"/>
      <c r="AO12" s="859"/>
      <c r="AP12" s="859"/>
      <c r="AQ12" s="821" t="s">
        <v>845</v>
      </c>
      <c r="AR12" s="821"/>
      <c r="AS12" s="821"/>
      <c r="AT12" s="821"/>
      <c r="AU12" s="821"/>
      <c r="AV12" s="859" t="s">
        <v>607</v>
      </c>
      <c r="AW12" s="859"/>
      <c r="AX12" s="859"/>
      <c r="AY12" s="859"/>
      <c r="AZ12" s="859"/>
      <c r="BA12" s="859">
        <v>0</v>
      </c>
      <c r="BB12" s="859"/>
      <c r="BC12" s="859"/>
      <c r="BD12" s="859"/>
      <c r="BE12" s="859"/>
      <c r="BF12" s="821" t="s">
        <v>845</v>
      </c>
      <c r="BG12" s="821"/>
      <c r="BH12" s="821"/>
      <c r="BI12" s="821"/>
      <c r="BJ12" s="821"/>
    </row>
    <row r="13" spans="1:63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22"/>
    </row>
    <row r="14" spans="1:63">
      <c r="B14" s="6"/>
      <c r="C14" s="862" t="s">
        <v>687</v>
      </c>
      <c r="D14" s="863"/>
      <c r="E14" s="863" t="s">
        <v>18</v>
      </c>
      <c r="F14" s="863"/>
      <c r="G14" s="363"/>
      <c r="H14" s="29"/>
      <c r="I14" s="866" t="s">
        <v>18</v>
      </c>
      <c r="J14" s="866"/>
      <c r="K14" s="866"/>
      <c r="L14" s="866"/>
      <c r="M14" s="866"/>
      <c r="N14" s="866"/>
      <c r="O14" s="866"/>
      <c r="P14" s="29"/>
      <c r="Q14" s="21"/>
      <c r="R14" s="541">
        <v>8930</v>
      </c>
      <c r="S14" s="541"/>
      <c r="T14" s="541"/>
      <c r="U14" s="541"/>
      <c r="V14" s="541"/>
      <c r="W14" s="541">
        <v>6092</v>
      </c>
      <c r="X14" s="541"/>
      <c r="Y14" s="541"/>
      <c r="Z14" s="541"/>
      <c r="AA14" s="541"/>
      <c r="AB14" s="541">
        <v>2838</v>
      </c>
      <c r="AC14" s="541"/>
      <c r="AD14" s="541"/>
      <c r="AE14" s="541"/>
      <c r="AF14" s="541"/>
      <c r="AG14" s="541">
        <v>8930</v>
      </c>
      <c r="AH14" s="541"/>
      <c r="AI14" s="541"/>
      <c r="AJ14" s="541"/>
      <c r="AK14" s="541"/>
      <c r="AL14" s="541">
        <v>6092</v>
      </c>
      <c r="AM14" s="541"/>
      <c r="AN14" s="541"/>
      <c r="AO14" s="541"/>
      <c r="AP14" s="541"/>
      <c r="AQ14" s="541">
        <v>2838</v>
      </c>
      <c r="AR14" s="541"/>
      <c r="AS14" s="541"/>
      <c r="AT14" s="541"/>
      <c r="AU14" s="541"/>
      <c r="AV14" s="541">
        <v>0</v>
      </c>
      <c r="AW14" s="541"/>
      <c r="AX14" s="541"/>
      <c r="AY14" s="541"/>
      <c r="AZ14" s="541"/>
      <c r="BA14" s="541">
        <v>0</v>
      </c>
      <c r="BB14" s="541"/>
      <c r="BC14" s="541"/>
      <c r="BD14" s="541"/>
      <c r="BE14" s="541"/>
      <c r="BF14" s="541">
        <v>0</v>
      </c>
      <c r="BG14" s="541"/>
      <c r="BH14" s="541"/>
      <c r="BI14" s="541"/>
      <c r="BJ14" s="541"/>
    </row>
    <row r="15" spans="1:63">
      <c r="B15" s="6"/>
      <c r="C15" s="862"/>
      <c r="D15" s="863"/>
      <c r="E15" s="863"/>
      <c r="F15" s="863"/>
      <c r="G15" s="6"/>
      <c r="H15" s="6"/>
      <c r="I15" s="6"/>
      <c r="J15" s="6"/>
      <c r="K15" s="6"/>
      <c r="L15" s="6"/>
      <c r="M15" s="6"/>
      <c r="N15" s="6"/>
      <c r="O15" s="6"/>
      <c r="P15" s="6"/>
      <c r="Q15" s="22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</row>
    <row r="16" spans="1:63">
      <c r="B16" s="6"/>
      <c r="C16" s="862"/>
      <c r="D16" s="863"/>
      <c r="E16" s="863"/>
      <c r="F16" s="863"/>
      <c r="G16" s="6"/>
      <c r="H16" s="6"/>
      <c r="I16" s="417" t="s">
        <v>644</v>
      </c>
      <c r="J16" s="417"/>
      <c r="K16" s="417"/>
      <c r="L16" s="417"/>
      <c r="M16" s="417"/>
      <c r="N16" s="417"/>
      <c r="O16" s="417"/>
      <c r="P16" s="6"/>
      <c r="Q16" s="22"/>
      <c r="R16" s="409">
        <v>5000</v>
      </c>
      <c r="S16" s="409"/>
      <c r="T16" s="409"/>
      <c r="U16" s="409"/>
      <c r="V16" s="409"/>
      <c r="W16" s="409">
        <v>2987</v>
      </c>
      <c r="X16" s="409"/>
      <c r="Y16" s="409"/>
      <c r="Z16" s="409"/>
      <c r="AA16" s="409"/>
      <c r="AB16" s="409">
        <v>2013</v>
      </c>
      <c r="AC16" s="409"/>
      <c r="AD16" s="409"/>
      <c r="AE16" s="409"/>
      <c r="AF16" s="409"/>
      <c r="AG16" s="409">
        <v>5000</v>
      </c>
      <c r="AH16" s="409"/>
      <c r="AI16" s="409"/>
      <c r="AJ16" s="409"/>
      <c r="AK16" s="409"/>
      <c r="AL16" s="409">
        <v>2987</v>
      </c>
      <c r="AM16" s="409"/>
      <c r="AN16" s="409"/>
      <c r="AO16" s="409"/>
      <c r="AP16" s="409"/>
      <c r="AQ16" s="409">
        <v>2013</v>
      </c>
      <c r="AR16" s="409"/>
      <c r="AS16" s="409"/>
      <c r="AT16" s="409"/>
      <c r="AU16" s="409"/>
      <c r="AV16" s="409">
        <v>0</v>
      </c>
      <c r="AW16" s="409"/>
      <c r="AX16" s="409"/>
      <c r="AY16" s="409"/>
      <c r="AZ16" s="409"/>
      <c r="BA16" s="409">
        <v>0</v>
      </c>
      <c r="BB16" s="409"/>
      <c r="BC16" s="409"/>
      <c r="BD16" s="409"/>
      <c r="BE16" s="409"/>
      <c r="BF16" s="409">
        <v>0</v>
      </c>
      <c r="BG16" s="409"/>
      <c r="BH16" s="409"/>
      <c r="BI16" s="409"/>
      <c r="BJ16" s="409"/>
    </row>
    <row r="17" spans="2:62">
      <c r="B17" s="6"/>
      <c r="C17" s="862"/>
      <c r="D17" s="863"/>
      <c r="E17" s="863"/>
      <c r="F17" s="863"/>
      <c r="G17" s="6"/>
      <c r="H17" s="6"/>
      <c r="I17" s="6"/>
      <c r="J17" s="6"/>
      <c r="K17" s="6"/>
      <c r="L17" s="6"/>
      <c r="M17" s="6"/>
      <c r="N17" s="6"/>
      <c r="O17" s="6"/>
      <c r="P17" s="6"/>
      <c r="Q17" s="2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</row>
    <row r="18" spans="2:62">
      <c r="B18" s="6"/>
      <c r="C18" s="862"/>
      <c r="D18" s="863"/>
      <c r="E18" s="863"/>
      <c r="F18" s="863"/>
      <c r="G18" s="6"/>
      <c r="H18" s="6"/>
      <c r="I18" s="417" t="s">
        <v>643</v>
      </c>
      <c r="J18" s="417"/>
      <c r="K18" s="417"/>
      <c r="L18" s="417"/>
      <c r="M18" s="417"/>
      <c r="N18" s="417"/>
      <c r="O18" s="417"/>
      <c r="P18" s="6"/>
      <c r="Q18" s="22"/>
      <c r="R18" s="409">
        <v>3930</v>
      </c>
      <c r="S18" s="409"/>
      <c r="T18" s="409"/>
      <c r="U18" s="409"/>
      <c r="V18" s="409"/>
      <c r="W18" s="409">
        <v>3105</v>
      </c>
      <c r="X18" s="409"/>
      <c r="Y18" s="409"/>
      <c r="Z18" s="409"/>
      <c r="AA18" s="409"/>
      <c r="AB18" s="409">
        <v>825</v>
      </c>
      <c r="AC18" s="409"/>
      <c r="AD18" s="409"/>
      <c r="AE18" s="409"/>
      <c r="AF18" s="409"/>
      <c r="AG18" s="409">
        <v>3930</v>
      </c>
      <c r="AH18" s="409"/>
      <c r="AI18" s="409"/>
      <c r="AJ18" s="409"/>
      <c r="AK18" s="409"/>
      <c r="AL18" s="409">
        <v>3105</v>
      </c>
      <c r="AM18" s="409"/>
      <c r="AN18" s="409"/>
      <c r="AO18" s="409"/>
      <c r="AP18" s="409"/>
      <c r="AQ18" s="409">
        <v>825</v>
      </c>
      <c r="AR18" s="409"/>
      <c r="AS18" s="409"/>
      <c r="AT18" s="409"/>
      <c r="AU18" s="409"/>
      <c r="AV18" s="409">
        <v>0</v>
      </c>
      <c r="AW18" s="409"/>
      <c r="AX18" s="409"/>
      <c r="AY18" s="409"/>
      <c r="AZ18" s="409"/>
      <c r="BA18" s="409">
        <v>0</v>
      </c>
      <c r="BB18" s="409"/>
      <c r="BC18" s="409"/>
      <c r="BD18" s="409"/>
      <c r="BE18" s="409"/>
      <c r="BF18" s="409">
        <v>0</v>
      </c>
      <c r="BG18" s="409"/>
      <c r="BH18" s="409"/>
      <c r="BI18" s="409"/>
      <c r="BJ18" s="409"/>
    </row>
    <row r="19" spans="2:62">
      <c r="B19" s="6"/>
      <c r="C19" s="862"/>
      <c r="D19" s="863"/>
      <c r="E19" s="863"/>
      <c r="F19" s="863"/>
      <c r="G19" s="6"/>
      <c r="H19" s="6"/>
      <c r="I19" s="6"/>
      <c r="J19" s="6"/>
      <c r="K19" s="6"/>
      <c r="L19" s="6"/>
      <c r="M19" s="6"/>
      <c r="N19" s="6"/>
      <c r="O19" s="6"/>
      <c r="P19" s="6"/>
      <c r="Q19" s="2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</row>
    <row r="20" spans="2:62">
      <c r="B20" s="6"/>
      <c r="C20" s="862"/>
      <c r="D20" s="863"/>
      <c r="E20" s="863" t="s">
        <v>844</v>
      </c>
      <c r="F20" s="863"/>
      <c r="G20" s="363"/>
      <c r="H20" s="29"/>
      <c r="I20" s="867" t="s">
        <v>843</v>
      </c>
      <c r="J20" s="867"/>
      <c r="K20" s="867"/>
      <c r="L20" s="861" t="s">
        <v>840</v>
      </c>
      <c r="M20" s="861"/>
      <c r="N20" s="861"/>
      <c r="O20" s="861"/>
      <c r="P20" s="29"/>
      <c r="Q20" s="21"/>
      <c r="R20" s="409">
        <v>3103</v>
      </c>
      <c r="S20" s="409"/>
      <c r="T20" s="409"/>
      <c r="U20" s="409"/>
      <c r="V20" s="409"/>
      <c r="W20" s="409">
        <v>2121</v>
      </c>
      <c r="X20" s="409"/>
      <c r="Y20" s="409"/>
      <c r="Z20" s="409"/>
      <c r="AA20" s="409"/>
      <c r="AB20" s="409">
        <v>982</v>
      </c>
      <c r="AC20" s="409"/>
      <c r="AD20" s="409"/>
      <c r="AE20" s="409"/>
      <c r="AF20" s="409"/>
      <c r="AG20" s="409">
        <v>3103</v>
      </c>
      <c r="AH20" s="409"/>
      <c r="AI20" s="409"/>
      <c r="AJ20" s="409"/>
      <c r="AK20" s="409"/>
      <c r="AL20" s="409">
        <v>2121</v>
      </c>
      <c r="AM20" s="409"/>
      <c r="AN20" s="409"/>
      <c r="AO20" s="409"/>
      <c r="AP20" s="409"/>
      <c r="AQ20" s="409">
        <v>982</v>
      </c>
      <c r="AR20" s="409"/>
      <c r="AS20" s="409"/>
      <c r="AT20" s="409"/>
      <c r="AU20" s="409"/>
      <c r="AV20" s="409">
        <v>0</v>
      </c>
      <c r="AW20" s="409"/>
      <c r="AX20" s="409"/>
      <c r="AY20" s="409"/>
      <c r="AZ20" s="409"/>
      <c r="BA20" s="409">
        <v>0</v>
      </c>
      <c r="BB20" s="409"/>
      <c r="BC20" s="409"/>
      <c r="BD20" s="409"/>
      <c r="BE20" s="409"/>
      <c r="BF20" s="409">
        <v>0</v>
      </c>
      <c r="BG20" s="409"/>
      <c r="BH20" s="409"/>
      <c r="BI20" s="409"/>
      <c r="BJ20" s="409"/>
    </row>
    <row r="21" spans="2:62">
      <c r="B21" s="6"/>
      <c r="C21" s="862"/>
      <c r="D21" s="863"/>
      <c r="E21" s="863"/>
      <c r="F21" s="863"/>
      <c r="G21" s="6"/>
      <c r="H21" s="6"/>
      <c r="I21" s="6"/>
      <c r="J21" s="6"/>
      <c r="K21" s="6"/>
      <c r="L21" s="6"/>
      <c r="M21" s="6"/>
      <c r="N21" s="6"/>
      <c r="O21" s="6"/>
      <c r="P21" s="6"/>
      <c r="Q21" s="2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62"/>
      <c r="BD21" s="362"/>
      <c r="BE21" s="362"/>
      <c r="BF21" s="362"/>
      <c r="BG21" s="362"/>
      <c r="BH21" s="362"/>
      <c r="BI21" s="362"/>
      <c r="BJ21" s="362"/>
    </row>
    <row r="22" spans="2:62">
      <c r="B22" s="6"/>
      <c r="C22" s="862"/>
      <c r="D22" s="863"/>
      <c r="E22" s="863"/>
      <c r="F22" s="863"/>
      <c r="G22" s="6"/>
      <c r="H22" s="6"/>
      <c r="I22" s="868" t="s">
        <v>842</v>
      </c>
      <c r="J22" s="868"/>
      <c r="K22" s="868"/>
      <c r="L22" s="476" t="s">
        <v>840</v>
      </c>
      <c r="M22" s="476"/>
      <c r="N22" s="476"/>
      <c r="O22" s="476"/>
      <c r="P22" s="6"/>
      <c r="Q22" s="22"/>
      <c r="R22" s="409">
        <v>2900</v>
      </c>
      <c r="S22" s="409"/>
      <c r="T22" s="409"/>
      <c r="U22" s="409"/>
      <c r="V22" s="409"/>
      <c r="W22" s="409">
        <v>1988</v>
      </c>
      <c r="X22" s="409"/>
      <c r="Y22" s="409"/>
      <c r="Z22" s="409"/>
      <c r="AA22" s="409"/>
      <c r="AB22" s="409">
        <v>912</v>
      </c>
      <c r="AC22" s="409"/>
      <c r="AD22" s="409"/>
      <c r="AE22" s="409"/>
      <c r="AF22" s="409"/>
      <c r="AG22" s="409">
        <v>2900</v>
      </c>
      <c r="AH22" s="409"/>
      <c r="AI22" s="409"/>
      <c r="AJ22" s="409"/>
      <c r="AK22" s="409"/>
      <c r="AL22" s="409">
        <v>1988</v>
      </c>
      <c r="AM22" s="409"/>
      <c r="AN22" s="409"/>
      <c r="AO22" s="409"/>
      <c r="AP22" s="409"/>
      <c r="AQ22" s="409">
        <v>912</v>
      </c>
      <c r="AR22" s="409"/>
      <c r="AS22" s="409"/>
      <c r="AT22" s="409"/>
      <c r="AU22" s="409"/>
      <c r="AV22" s="409">
        <v>0</v>
      </c>
      <c r="AW22" s="409"/>
      <c r="AX22" s="409"/>
      <c r="AY22" s="409"/>
      <c r="AZ22" s="409"/>
      <c r="BA22" s="409">
        <v>0</v>
      </c>
      <c r="BB22" s="409"/>
      <c r="BC22" s="409"/>
      <c r="BD22" s="409"/>
      <c r="BE22" s="409"/>
      <c r="BF22" s="409">
        <v>0</v>
      </c>
      <c r="BG22" s="409"/>
      <c r="BH22" s="409"/>
      <c r="BI22" s="409"/>
      <c r="BJ22" s="409"/>
    </row>
    <row r="23" spans="2:62">
      <c r="B23" s="6"/>
      <c r="C23" s="862"/>
      <c r="D23" s="863"/>
      <c r="E23" s="863"/>
      <c r="F23" s="863"/>
      <c r="G23" s="6"/>
      <c r="H23" s="6"/>
      <c r="I23" s="6"/>
      <c r="J23" s="6"/>
      <c r="K23" s="6"/>
      <c r="L23" s="6"/>
      <c r="M23" s="6"/>
      <c r="N23" s="6"/>
      <c r="O23" s="6"/>
      <c r="P23" s="6"/>
      <c r="Q23" s="2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362"/>
      <c r="BI23" s="362"/>
      <c r="BJ23" s="362"/>
    </row>
    <row r="24" spans="2:62">
      <c r="B24" s="6"/>
      <c r="C24" s="862"/>
      <c r="D24" s="863"/>
      <c r="E24" s="863"/>
      <c r="F24" s="863"/>
      <c r="G24" s="6"/>
      <c r="H24" s="6"/>
      <c r="I24" s="868" t="s">
        <v>841</v>
      </c>
      <c r="J24" s="868"/>
      <c r="K24" s="868"/>
      <c r="L24" s="476" t="s">
        <v>840</v>
      </c>
      <c r="M24" s="476"/>
      <c r="N24" s="476"/>
      <c r="O24" s="476"/>
      <c r="P24" s="6"/>
      <c r="Q24" s="22"/>
      <c r="R24" s="409">
        <v>2927</v>
      </c>
      <c r="S24" s="409"/>
      <c r="T24" s="409"/>
      <c r="U24" s="409"/>
      <c r="V24" s="409"/>
      <c r="W24" s="409">
        <v>1983</v>
      </c>
      <c r="X24" s="409"/>
      <c r="Y24" s="409"/>
      <c r="Z24" s="409"/>
      <c r="AA24" s="409"/>
      <c r="AB24" s="409">
        <v>944</v>
      </c>
      <c r="AC24" s="409"/>
      <c r="AD24" s="409"/>
      <c r="AE24" s="409"/>
      <c r="AF24" s="409"/>
      <c r="AG24" s="409">
        <v>2927</v>
      </c>
      <c r="AH24" s="409"/>
      <c r="AI24" s="409"/>
      <c r="AJ24" s="409"/>
      <c r="AK24" s="409"/>
      <c r="AL24" s="409">
        <v>1983</v>
      </c>
      <c r="AM24" s="409"/>
      <c r="AN24" s="409"/>
      <c r="AO24" s="409"/>
      <c r="AP24" s="409"/>
      <c r="AQ24" s="409">
        <v>944</v>
      </c>
      <c r="AR24" s="409"/>
      <c r="AS24" s="409"/>
      <c r="AT24" s="409"/>
      <c r="AU24" s="409"/>
      <c r="AV24" s="409">
        <v>0</v>
      </c>
      <c r="AW24" s="409"/>
      <c r="AX24" s="409"/>
      <c r="AY24" s="409"/>
      <c r="AZ24" s="409"/>
      <c r="BA24" s="409">
        <v>0</v>
      </c>
      <c r="BB24" s="409"/>
      <c r="BC24" s="409"/>
      <c r="BD24" s="409"/>
      <c r="BE24" s="409"/>
      <c r="BF24" s="409">
        <v>0</v>
      </c>
      <c r="BG24" s="409"/>
      <c r="BH24" s="409"/>
      <c r="BI24" s="409"/>
      <c r="BJ24" s="409"/>
    </row>
    <row r="25" spans="2:62">
      <c r="B25" s="1"/>
      <c r="C25" s="864"/>
      <c r="D25" s="865"/>
      <c r="E25" s="865"/>
      <c r="F25" s="865"/>
      <c r="G25" s="1"/>
      <c r="H25" s="1"/>
      <c r="I25" s="1"/>
      <c r="J25" s="1"/>
      <c r="K25" s="1"/>
      <c r="L25" s="1"/>
      <c r="M25" s="1"/>
      <c r="N25" s="1"/>
      <c r="O25" s="1"/>
      <c r="P25" s="1"/>
      <c r="Q25" s="2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2:62">
      <c r="C26" s="400" t="s">
        <v>8</v>
      </c>
      <c r="D26" s="400"/>
      <c r="E26" s="297" t="s">
        <v>821</v>
      </c>
      <c r="F26" s="377">
        <v>-1</v>
      </c>
      <c r="G26" s="377"/>
      <c r="H26" s="4" t="s">
        <v>839</v>
      </c>
    </row>
    <row r="27" spans="2:62">
      <c r="C27" s="361"/>
      <c r="D27" s="361"/>
      <c r="E27" s="297"/>
      <c r="F27" s="296"/>
      <c r="G27" s="296"/>
      <c r="H27" s="5" t="s">
        <v>838</v>
      </c>
    </row>
    <row r="28" spans="2:62">
      <c r="F28" s="378">
        <v>-2</v>
      </c>
      <c r="G28" s="378"/>
      <c r="H28" s="5" t="s">
        <v>837</v>
      </c>
    </row>
    <row r="29" spans="2:62">
      <c r="B29" s="404" t="s">
        <v>9</v>
      </c>
      <c r="C29" s="404"/>
      <c r="D29" s="404"/>
      <c r="E29" s="297" t="s">
        <v>821</v>
      </c>
      <c r="F29" s="2" t="s">
        <v>656</v>
      </c>
    </row>
    <row r="34" spans="2:62" ht="18" customHeight="1">
      <c r="B34" s="379" t="s">
        <v>836</v>
      </c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379"/>
      <c r="AW34" s="379"/>
      <c r="AX34" s="379"/>
      <c r="AY34" s="379"/>
      <c r="AZ34" s="379"/>
      <c r="BA34" s="379"/>
      <c r="BB34" s="379"/>
      <c r="BC34" s="379"/>
      <c r="BD34" s="379"/>
      <c r="BE34" s="379"/>
      <c r="BF34" s="379"/>
      <c r="BG34" s="379"/>
      <c r="BH34" s="379"/>
      <c r="BI34" s="379"/>
      <c r="BJ34" s="379"/>
    </row>
    <row r="35" spans="2:62" ht="12.95" customHeight="1">
      <c r="BJ35" s="20" t="s">
        <v>678</v>
      </c>
    </row>
    <row r="36" spans="2:62" ht="15.75" customHeight="1">
      <c r="B36" s="872" t="s">
        <v>677</v>
      </c>
      <c r="C36" s="872"/>
      <c r="D36" s="872"/>
      <c r="E36" s="872"/>
      <c r="F36" s="872"/>
      <c r="G36" s="872"/>
      <c r="H36" s="872"/>
      <c r="I36" s="872"/>
      <c r="J36" s="872"/>
      <c r="K36" s="872"/>
      <c r="L36" s="872"/>
      <c r="M36" s="872"/>
      <c r="N36" s="872"/>
      <c r="O36" s="872"/>
      <c r="P36" s="872"/>
      <c r="Q36" s="872"/>
      <c r="R36" s="872"/>
      <c r="S36" s="872"/>
      <c r="T36" s="872"/>
      <c r="U36" s="741" t="s">
        <v>238</v>
      </c>
      <c r="V36" s="741"/>
      <c r="W36" s="741"/>
      <c r="X36" s="741"/>
      <c r="Y36" s="741"/>
      <c r="Z36" s="741"/>
      <c r="AA36" s="741"/>
      <c r="AB36" s="741"/>
      <c r="AC36" s="741" t="s">
        <v>644</v>
      </c>
      <c r="AD36" s="741"/>
      <c r="AE36" s="741"/>
      <c r="AF36" s="741"/>
      <c r="AG36" s="741"/>
      <c r="AH36" s="741"/>
      <c r="AI36" s="741"/>
      <c r="AJ36" s="741"/>
      <c r="AK36" s="741" t="s">
        <v>643</v>
      </c>
      <c r="AL36" s="741"/>
      <c r="AM36" s="741"/>
      <c r="AN36" s="741"/>
      <c r="AO36" s="741"/>
      <c r="AP36" s="741"/>
      <c r="AQ36" s="741"/>
      <c r="AR36" s="741"/>
      <c r="AS36" s="869" t="s">
        <v>818</v>
      </c>
      <c r="AT36" s="870"/>
      <c r="AU36" s="870"/>
      <c r="AV36" s="870"/>
      <c r="AW36" s="870"/>
      <c r="AX36" s="870"/>
      <c r="AY36" s="870"/>
      <c r="AZ36" s="870"/>
      <c r="BA36" s="870"/>
      <c r="BB36" s="870"/>
      <c r="BC36" s="870"/>
      <c r="BD36" s="870"/>
      <c r="BE36" s="870"/>
      <c r="BF36" s="870"/>
      <c r="BG36" s="870"/>
      <c r="BH36" s="870"/>
      <c r="BI36" s="870"/>
      <c r="BJ36" s="871"/>
    </row>
    <row r="37" spans="2:62" ht="15.75" customHeight="1">
      <c r="B37" s="873"/>
      <c r="C37" s="873"/>
      <c r="D37" s="873"/>
      <c r="E37" s="873"/>
      <c r="F37" s="873"/>
      <c r="G37" s="873"/>
      <c r="H37" s="873"/>
      <c r="I37" s="873"/>
      <c r="J37" s="873"/>
      <c r="K37" s="873"/>
      <c r="L37" s="873"/>
      <c r="M37" s="873"/>
      <c r="N37" s="873"/>
      <c r="O37" s="873"/>
      <c r="P37" s="873"/>
      <c r="Q37" s="873"/>
      <c r="R37" s="873"/>
      <c r="S37" s="873"/>
      <c r="T37" s="873"/>
      <c r="U37" s="742"/>
      <c r="V37" s="742"/>
      <c r="W37" s="742"/>
      <c r="X37" s="742"/>
      <c r="Y37" s="742"/>
      <c r="Z37" s="742"/>
      <c r="AA37" s="742"/>
      <c r="AB37" s="742"/>
      <c r="AC37" s="742"/>
      <c r="AD37" s="742"/>
      <c r="AE37" s="742"/>
      <c r="AF37" s="742"/>
      <c r="AG37" s="742"/>
      <c r="AH37" s="742"/>
      <c r="AI37" s="742"/>
      <c r="AJ37" s="742"/>
      <c r="AK37" s="742"/>
      <c r="AL37" s="742"/>
      <c r="AM37" s="742"/>
      <c r="AN37" s="742"/>
      <c r="AO37" s="742"/>
      <c r="AP37" s="742"/>
      <c r="AQ37" s="742"/>
      <c r="AR37" s="742"/>
      <c r="AS37" s="385" t="s">
        <v>835</v>
      </c>
      <c r="AT37" s="385"/>
      <c r="AU37" s="385"/>
      <c r="AV37" s="385"/>
      <c r="AW37" s="385"/>
      <c r="AX37" s="385"/>
      <c r="AY37" s="385"/>
      <c r="AZ37" s="385"/>
      <c r="BA37" s="385"/>
      <c r="BB37" s="385" t="s">
        <v>834</v>
      </c>
      <c r="BC37" s="385"/>
      <c r="BD37" s="385"/>
      <c r="BE37" s="385"/>
      <c r="BF37" s="385"/>
      <c r="BG37" s="385"/>
      <c r="BH37" s="385"/>
      <c r="BI37" s="385"/>
      <c r="BJ37" s="388"/>
    </row>
    <row r="38" spans="2:62">
      <c r="Q38" s="6"/>
      <c r="T38" s="21"/>
    </row>
    <row r="39" spans="2:62">
      <c r="C39" s="807" t="s">
        <v>833</v>
      </c>
      <c r="D39" s="807"/>
      <c r="E39" s="807"/>
      <c r="F39" s="807"/>
      <c r="G39" s="807"/>
      <c r="H39" s="807"/>
      <c r="I39" s="807"/>
      <c r="J39" s="807"/>
      <c r="K39" s="807"/>
      <c r="L39" s="807"/>
      <c r="M39" s="807"/>
      <c r="N39" s="807"/>
      <c r="O39" s="807"/>
      <c r="P39" s="807"/>
      <c r="Q39" s="807"/>
      <c r="R39" s="807"/>
      <c r="S39" s="807"/>
      <c r="T39" s="360"/>
      <c r="U39" s="821">
        <f>SUM(AC39:AR39)</f>
        <v>2915</v>
      </c>
      <c r="V39" s="821"/>
      <c r="W39" s="821"/>
      <c r="X39" s="821"/>
      <c r="Y39" s="821"/>
      <c r="Z39" s="821"/>
      <c r="AA39" s="821"/>
      <c r="AB39" s="821"/>
      <c r="AC39" s="821">
        <v>1652</v>
      </c>
      <c r="AD39" s="821"/>
      <c r="AE39" s="821"/>
      <c r="AF39" s="821"/>
      <c r="AG39" s="821"/>
      <c r="AH39" s="821"/>
      <c r="AI39" s="821"/>
      <c r="AJ39" s="821"/>
      <c r="AK39" s="821">
        <v>1263</v>
      </c>
      <c r="AL39" s="821"/>
      <c r="AM39" s="821"/>
      <c r="AN39" s="821"/>
      <c r="AO39" s="821"/>
      <c r="AP39" s="821"/>
      <c r="AQ39" s="821"/>
      <c r="AR39" s="821"/>
      <c r="AS39" s="396">
        <v>1878</v>
      </c>
      <c r="AT39" s="396"/>
      <c r="AU39" s="396"/>
      <c r="AV39" s="396"/>
      <c r="AW39" s="396"/>
      <c r="AX39" s="396"/>
      <c r="AY39" s="396"/>
      <c r="AZ39" s="396"/>
      <c r="BA39" s="396"/>
      <c r="BB39" s="396">
        <v>1037</v>
      </c>
      <c r="BC39" s="396"/>
      <c r="BD39" s="396"/>
      <c r="BE39" s="396"/>
      <c r="BF39" s="396"/>
      <c r="BG39" s="396"/>
      <c r="BH39" s="396"/>
      <c r="BI39" s="396"/>
      <c r="BJ39" s="396"/>
    </row>
    <row r="40" spans="2:62">
      <c r="Q40" s="6"/>
      <c r="T40" s="22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8"/>
      <c r="AL40" s="358"/>
      <c r="AM40" s="358"/>
      <c r="AN40" s="358"/>
      <c r="AO40" s="358"/>
      <c r="AP40" s="358"/>
      <c r="AQ40" s="358"/>
      <c r="AR40" s="358"/>
    </row>
    <row r="41" spans="2:62">
      <c r="C41" s="389" t="s">
        <v>832</v>
      </c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57"/>
      <c r="U41" s="859">
        <f>SUM(AC41:AR41)</f>
        <v>1763</v>
      </c>
      <c r="V41" s="859"/>
      <c r="W41" s="859"/>
      <c r="X41" s="859"/>
      <c r="Y41" s="859"/>
      <c r="Z41" s="859"/>
      <c r="AA41" s="859"/>
      <c r="AB41" s="859"/>
      <c r="AC41" s="859">
        <v>1069</v>
      </c>
      <c r="AD41" s="859"/>
      <c r="AE41" s="859"/>
      <c r="AF41" s="859"/>
      <c r="AG41" s="859"/>
      <c r="AH41" s="859"/>
      <c r="AI41" s="859"/>
      <c r="AJ41" s="859"/>
      <c r="AK41" s="859">
        <v>694</v>
      </c>
      <c r="AL41" s="859"/>
      <c r="AM41" s="859"/>
      <c r="AN41" s="859"/>
      <c r="AO41" s="859"/>
      <c r="AP41" s="859"/>
      <c r="AQ41" s="859"/>
      <c r="AR41" s="859"/>
      <c r="AS41" s="391">
        <v>870</v>
      </c>
      <c r="AT41" s="391"/>
      <c r="AU41" s="391"/>
      <c r="AV41" s="391"/>
      <c r="AW41" s="391"/>
      <c r="AX41" s="391"/>
      <c r="AY41" s="391"/>
      <c r="AZ41" s="391"/>
      <c r="BA41" s="391"/>
      <c r="BB41" s="391">
        <v>893</v>
      </c>
      <c r="BC41" s="391"/>
      <c r="BD41" s="391"/>
      <c r="BE41" s="391"/>
      <c r="BF41" s="391"/>
      <c r="BG41" s="391"/>
      <c r="BH41" s="391"/>
      <c r="BI41" s="391"/>
      <c r="BJ41" s="391"/>
    </row>
    <row r="42" spans="2:62"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59"/>
      <c r="R42" s="313"/>
      <c r="S42" s="313"/>
      <c r="T42" s="22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358"/>
      <c r="AQ42" s="358"/>
      <c r="AR42" s="358"/>
    </row>
    <row r="43" spans="2:62">
      <c r="C43" s="313"/>
      <c r="D43" s="389" t="s">
        <v>831</v>
      </c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57"/>
      <c r="U43" s="859">
        <f>SUM(AC43:AR43)</f>
        <v>1761</v>
      </c>
      <c r="V43" s="859"/>
      <c r="W43" s="859"/>
      <c r="X43" s="859"/>
      <c r="Y43" s="859"/>
      <c r="Z43" s="859"/>
      <c r="AA43" s="859"/>
      <c r="AB43" s="859"/>
      <c r="AC43" s="859">
        <v>1068</v>
      </c>
      <c r="AD43" s="859"/>
      <c r="AE43" s="859"/>
      <c r="AF43" s="859"/>
      <c r="AG43" s="859"/>
      <c r="AH43" s="859"/>
      <c r="AI43" s="859"/>
      <c r="AJ43" s="859"/>
      <c r="AK43" s="859">
        <v>693</v>
      </c>
      <c r="AL43" s="859"/>
      <c r="AM43" s="859"/>
      <c r="AN43" s="859"/>
      <c r="AO43" s="859"/>
      <c r="AP43" s="859"/>
      <c r="AQ43" s="859"/>
      <c r="AR43" s="859"/>
      <c r="AS43" s="391">
        <v>868</v>
      </c>
      <c r="AT43" s="391"/>
      <c r="AU43" s="391"/>
      <c r="AV43" s="391"/>
      <c r="AW43" s="391"/>
      <c r="AX43" s="391"/>
      <c r="AY43" s="391"/>
      <c r="AZ43" s="391"/>
      <c r="BA43" s="391"/>
      <c r="BB43" s="391">
        <v>893</v>
      </c>
      <c r="BC43" s="391"/>
      <c r="BD43" s="391"/>
      <c r="BE43" s="391"/>
      <c r="BF43" s="391"/>
      <c r="BG43" s="391"/>
      <c r="BH43" s="391"/>
      <c r="BI43" s="391"/>
      <c r="BJ43" s="391"/>
    </row>
    <row r="44" spans="2:62"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59"/>
      <c r="R44" s="313"/>
      <c r="S44" s="313"/>
      <c r="T44" s="22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358"/>
      <c r="AI44" s="358"/>
      <c r="AJ44" s="358"/>
      <c r="AK44" s="358"/>
      <c r="AL44" s="358"/>
      <c r="AM44" s="358"/>
      <c r="AN44" s="358"/>
      <c r="AO44" s="358"/>
      <c r="AP44" s="358"/>
      <c r="AQ44" s="358"/>
      <c r="AR44" s="358"/>
    </row>
    <row r="45" spans="2:62">
      <c r="C45" s="313"/>
      <c r="D45" s="860" t="s">
        <v>830</v>
      </c>
      <c r="E45" s="860"/>
      <c r="F45" s="860"/>
      <c r="G45" s="860"/>
      <c r="H45" s="860"/>
      <c r="I45" s="860"/>
      <c r="J45" s="860"/>
      <c r="K45" s="860"/>
      <c r="L45" s="860"/>
      <c r="M45" s="860"/>
      <c r="N45" s="860"/>
      <c r="O45" s="860"/>
      <c r="P45" s="860"/>
      <c r="Q45" s="860"/>
      <c r="R45" s="860"/>
      <c r="S45" s="860"/>
      <c r="T45" s="357"/>
      <c r="U45" s="859">
        <f>SUM(AC45:AR45)</f>
        <v>2</v>
      </c>
      <c r="V45" s="859"/>
      <c r="W45" s="859"/>
      <c r="X45" s="859"/>
      <c r="Y45" s="859"/>
      <c r="Z45" s="859"/>
      <c r="AA45" s="859"/>
      <c r="AB45" s="859"/>
      <c r="AC45" s="859">
        <v>1</v>
      </c>
      <c r="AD45" s="859"/>
      <c r="AE45" s="859"/>
      <c r="AF45" s="859"/>
      <c r="AG45" s="859"/>
      <c r="AH45" s="859"/>
      <c r="AI45" s="859"/>
      <c r="AJ45" s="859"/>
      <c r="AK45" s="859">
        <v>1</v>
      </c>
      <c r="AL45" s="859"/>
      <c r="AM45" s="859"/>
      <c r="AN45" s="859"/>
      <c r="AO45" s="859"/>
      <c r="AP45" s="859"/>
      <c r="AQ45" s="859"/>
      <c r="AR45" s="859"/>
      <c r="AS45" s="391">
        <v>2</v>
      </c>
      <c r="AT45" s="391"/>
      <c r="AU45" s="391"/>
      <c r="AV45" s="391"/>
      <c r="AW45" s="391"/>
      <c r="AX45" s="391"/>
      <c r="AY45" s="391"/>
      <c r="AZ45" s="391"/>
      <c r="BA45" s="391"/>
      <c r="BB45" s="391">
        <v>0</v>
      </c>
      <c r="BC45" s="391"/>
      <c r="BD45" s="391"/>
      <c r="BE45" s="391"/>
      <c r="BF45" s="391"/>
      <c r="BG45" s="391"/>
      <c r="BH45" s="391"/>
      <c r="BI45" s="391"/>
      <c r="BJ45" s="391"/>
    </row>
    <row r="46" spans="2:62"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59"/>
      <c r="R46" s="313"/>
      <c r="S46" s="313"/>
      <c r="T46" s="22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58"/>
      <c r="AI46" s="358"/>
      <c r="AJ46" s="358"/>
      <c r="AK46" s="358"/>
      <c r="AL46" s="358"/>
      <c r="AM46" s="358"/>
      <c r="AN46" s="358"/>
      <c r="AO46" s="358"/>
      <c r="AP46" s="358"/>
      <c r="AQ46" s="358"/>
      <c r="AR46" s="358"/>
    </row>
    <row r="47" spans="2:62">
      <c r="C47" s="389" t="s">
        <v>829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57"/>
      <c r="U47" s="859">
        <f>SUM(AC47:AR47)</f>
        <v>355</v>
      </c>
      <c r="V47" s="859"/>
      <c r="W47" s="859"/>
      <c r="X47" s="859"/>
      <c r="Y47" s="859"/>
      <c r="Z47" s="859"/>
      <c r="AA47" s="859"/>
      <c r="AB47" s="859"/>
      <c r="AC47" s="859">
        <v>167</v>
      </c>
      <c r="AD47" s="859"/>
      <c r="AE47" s="859"/>
      <c r="AF47" s="859"/>
      <c r="AG47" s="859"/>
      <c r="AH47" s="859"/>
      <c r="AI47" s="859"/>
      <c r="AJ47" s="859"/>
      <c r="AK47" s="859">
        <v>188</v>
      </c>
      <c r="AL47" s="859"/>
      <c r="AM47" s="859"/>
      <c r="AN47" s="859"/>
      <c r="AO47" s="859"/>
      <c r="AP47" s="859"/>
      <c r="AQ47" s="859"/>
      <c r="AR47" s="859"/>
      <c r="AS47" s="391">
        <v>349</v>
      </c>
      <c r="AT47" s="391"/>
      <c r="AU47" s="391"/>
      <c r="AV47" s="391"/>
      <c r="AW47" s="391"/>
      <c r="AX47" s="391"/>
      <c r="AY47" s="391"/>
      <c r="AZ47" s="391"/>
      <c r="BA47" s="391"/>
      <c r="BB47" s="391">
        <v>6</v>
      </c>
      <c r="BC47" s="391"/>
      <c r="BD47" s="391"/>
      <c r="BE47" s="391"/>
      <c r="BF47" s="391"/>
      <c r="BG47" s="391"/>
      <c r="BH47" s="391"/>
      <c r="BI47" s="391"/>
      <c r="BJ47" s="391"/>
    </row>
    <row r="48" spans="2:62"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59"/>
      <c r="R48" s="313"/>
      <c r="S48" s="313"/>
      <c r="T48" s="22"/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  <c r="AF48" s="358"/>
      <c r="AG48" s="358"/>
      <c r="AH48" s="358"/>
      <c r="AI48" s="358"/>
      <c r="AJ48" s="358"/>
      <c r="AK48" s="358"/>
      <c r="AL48" s="358"/>
      <c r="AM48" s="358"/>
      <c r="AN48" s="358"/>
      <c r="AO48" s="358"/>
      <c r="AP48" s="358"/>
      <c r="AQ48" s="358"/>
      <c r="AR48" s="358"/>
    </row>
    <row r="49" spans="2:62">
      <c r="C49" s="389" t="s">
        <v>810</v>
      </c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57"/>
      <c r="U49" s="859">
        <f>SUM(AC49:AR49)</f>
        <v>335</v>
      </c>
      <c r="V49" s="859"/>
      <c r="W49" s="859"/>
      <c r="X49" s="859"/>
      <c r="Y49" s="859"/>
      <c r="Z49" s="859"/>
      <c r="AA49" s="859"/>
      <c r="AB49" s="859"/>
      <c r="AC49" s="859">
        <v>180</v>
      </c>
      <c r="AD49" s="859"/>
      <c r="AE49" s="859"/>
      <c r="AF49" s="859"/>
      <c r="AG49" s="859"/>
      <c r="AH49" s="859"/>
      <c r="AI49" s="859"/>
      <c r="AJ49" s="859"/>
      <c r="AK49" s="859">
        <v>155</v>
      </c>
      <c r="AL49" s="859"/>
      <c r="AM49" s="859"/>
      <c r="AN49" s="859"/>
      <c r="AO49" s="859"/>
      <c r="AP49" s="859"/>
      <c r="AQ49" s="859"/>
      <c r="AR49" s="859"/>
      <c r="AS49" s="391">
        <v>205</v>
      </c>
      <c r="AT49" s="391"/>
      <c r="AU49" s="391"/>
      <c r="AV49" s="391"/>
      <c r="AW49" s="391"/>
      <c r="AX49" s="391"/>
      <c r="AY49" s="391"/>
      <c r="AZ49" s="391"/>
      <c r="BA49" s="391"/>
      <c r="BB49" s="391">
        <v>130</v>
      </c>
      <c r="BC49" s="391"/>
      <c r="BD49" s="391"/>
      <c r="BE49" s="391"/>
      <c r="BF49" s="391"/>
      <c r="BG49" s="391"/>
      <c r="BH49" s="391"/>
      <c r="BI49" s="391"/>
      <c r="BJ49" s="391"/>
    </row>
    <row r="50" spans="2:62"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59"/>
      <c r="R50" s="313"/>
      <c r="S50" s="313"/>
      <c r="T50" s="22"/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58"/>
      <c r="AF50" s="358"/>
      <c r="AG50" s="358"/>
      <c r="AH50" s="358"/>
      <c r="AI50" s="358"/>
      <c r="AJ50" s="358"/>
      <c r="AK50" s="358"/>
      <c r="AL50" s="358"/>
      <c r="AM50" s="358"/>
      <c r="AN50" s="358"/>
      <c r="AO50" s="358"/>
      <c r="AP50" s="358"/>
      <c r="AQ50" s="358"/>
      <c r="AR50" s="358"/>
    </row>
    <row r="51" spans="2:62">
      <c r="C51" s="389" t="s">
        <v>809</v>
      </c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57"/>
      <c r="U51" s="859">
        <f>SUM(AC51:AR51)</f>
        <v>23</v>
      </c>
      <c r="V51" s="859"/>
      <c r="W51" s="859"/>
      <c r="X51" s="859"/>
      <c r="Y51" s="859"/>
      <c r="Z51" s="859"/>
      <c r="AA51" s="859"/>
      <c r="AB51" s="859"/>
      <c r="AC51" s="859">
        <v>7</v>
      </c>
      <c r="AD51" s="859"/>
      <c r="AE51" s="859"/>
      <c r="AF51" s="859"/>
      <c r="AG51" s="859"/>
      <c r="AH51" s="859"/>
      <c r="AI51" s="859"/>
      <c r="AJ51" s="859"/>
      <c r="AK51" s="859">
        <v>16</v>
      </c>
      <c r="AL51" s="859"/>
      <c r="AM51" s="859"/>
      <c r="AN51" s="859"/>
      <c r="AO51" s="859"/>
      <c r="AP51" s="859"/>
      <c r="AQ51" s="859"/>
      <c r="AR51" s="859"/>
      <c r="AS51" s="391">
        <v>23</v>
      </c>
      <c r="AT51" s="391"/>
      <c r="AU51" s="391"/>
      <c r="AV51" s="391"/>
      <c r="AW51" s="391"/>
      <c r="AX51" s="391"/>
      <c r="AY51" s="391"/>
      <c r="AZ51" s="391"/>
      <c r="BA51" s="391"/>
      <c r="BB51" s="391">
        <v>0</v>
      </c>
      <c r="BC51" s="391"/>
      <c r="BD51" s="391"/>
      <c r="BE51" s="391"/>
      <c r="BF51" s="391"/>
      <c r="BG51" s="391"/>
      <c r="BH51" s="391"/>
      <c r="BI51" s="391"/>
      <c r="BJ51" s="391"/>
    </row>
    <row r="52" spans="2:62"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59"/>
      <c r="R52" s="313"/>
      <c r="S52" s="313"/>
      <c r="T52" s="22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8"/>
      <c r="AJ52" s="358"/>
      <c r="AK52" s="358"/>
      <c r="AL52" s="358"/>
      <c r="AM52" s="358"/>
      <c r="AN52" s="358"/>
      <c r="AO52" s="358"/>
      <c r="AP52" s="358"/>
      <c r="AQ52" s="358"/>
      <c r="AR52" s="358"/>
    </row>
    <row r="53" spans="2:62">
      <c r="C53" s="389" t="s">
        <v>808</v>
      </c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57"/>
      <c r="U53" s="859">
        <f>SUM(AC53:AR53)</f>
        <v>259</v>
      </c>
      <c r="V53" s="859"/>
      <c r="W53" s="859"/>
      <c r="X53" s="859"/>
      <c r="Y53" s="859"/>
      <c r="Z53" s="859"/>
      <c r="AA53" s="859"/>
      <c r="AB53" s="859"/>
      <c r="AC53" s="859">
        <v>149</v>
      </c>
      <c r="AD53" s="859"/>
      <c r="AE53" s="859"/>
      <c r="AF53" s="859"/>
      <c r="AG53" s="859"/>
      <c r="AH53" s="859"/>
      <c r="AI53" s="859"/>
      <c r="AJ53" s="859"/>
      <c r="AK53" s="859">
        <v>110</v>
      </c>
      <c r="AL53" s="859"/>
      <c r="AM53" s="859"/>
      <c r="AN53" s="859"/>
      <c r="AO53" s="859"/>
      <c r="AP53" s="859"/>
      <c r="AQ53" s="859"/>
      <c r="AR53" s="859"/>
      <c r="AS53" s="391">
        <v>256</v>
      </c>
      <c r="AT53" s="391"/>
      <c r="AU53" s="391"/>
      <c r="AV53" s="391"/>
      <c r="AW53" s="391"/>
      <c r="AX53" s="391"/>
      <c r="AY53" s="391"/>
      <c r="AZ53" s="391"/>
      <c r="BA53" s="391"/>
      <c r="BB53" s="391">
        <v>3</v>
      </c>
      <c r="BC53" s="391"/>
      <c r="BD53" s="391"/>
      <c r="BE53" s="391"/>
      <c r="BF53" s="391"/>
      <c r="BG53" s="391"/>
      <c r="BH53" s="391"/>
      <c r="BI53" s="391"/>
      <c r="BJ53" s="391"/>
    </row>
    <row r="54" spans="2:62"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59"/>
      <c r="R54" s="313"/>
      <c r="S54" s="313"/>
      <c r="T54" s="22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8"/>
      <c r="AH54" s="358"/>
      <c r="AI54" s="358"/>
      <c r="AJ54" s="358"/>
      <c r="AK54" s="358"/>
      <c r="AL54" s="358"/>
      <c r="AM54" s="358"/>
      <c r="AN54" s="358"/>
      <c r="AO54" s="358"/>
      <c r="AP54" s="358"/>
      <c r="AQ54" s="358"/>
      <c r="AR54" s="358"/>
    </row>
    <row r="55" spans="2:62">
      <c r="C55" s="389" t="s">
        <v>828</v>
      </c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57"/>
      <c r="U55" s="859">
        <f>SUM(AC55:AR55)</f>
        <v>83</v>
      </c>
      <c r="V55" s="859"/>
      <c r="W55" s="859"/>
      <c r="X55" s="859"/>
      <c r="Y55" s="859"/>
      <c r="Z55" s="859"/>
      <c r="AA55" s="859"/>
      <c r="AB55" s="859"/>
      <c r="AC55" s="859">
        <v>34</v>
      </c>
      <c r="AD55" s="859"/>
      <c r="AE55" s="859"/>
      <c r="AF55" s="859"/>
      <c r="AG55" s="859"/>
      <c r="AH55" s="859"/>
      <c r="AI55" s="859"/>
      <c r="AJ55" s="859"/>
      <c r="AK55" s="859">
        <v>49</v>
      </c>
      <c r="AL55" s="859"/>
      <c r="AM55" s="859"/>
      <c r="AN55" s="859"/>
      <c r="AO55" s="859"/>
      <c r="AP55" s="859"/>
      <c r="AQ55" s="859"/>
      <c r="AR55" s="859"/>
      <c r="AS55" s="391">
        <v>83</v>
      </c>
      <c r="AT55" s="391"/>
      <c r="AU55" s="391"/>
      <c r="AV55" s="391"/>
      <c r="AW55" s="391"/>
      <c r="AX55" s="391"/>
      <c r="AY55" s="391"/>
      <c r="AZ55" s="391"/>
      <c r="BA55" s="391"/>
      <c r="BB55" s="391">
        <v>0</v>
      </c>
      <c r="BC55" s="391"/>
      <c r="BD55" s="391"/>
      <c r="BE55" s="391"/>
      <c r="BF55" s="391"/>
      <c r="BG55" s="391"/>
      <c r="BH55" s="391"/>
      <c r="BI55" s="391"/>
      <c r="BJ55" s="391"/>
    </row>
    <row r="56" spans="2:62"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59"/>
      <c r="R56" s="313"/>
      <c r="S56" s="313"/>
      <c r="T56" s="22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8"/>
      <c r="AH56" s="358"/>
      <c r="AI56" s="358"/>
      <c r="AJ56" s="358"/>
      <c r="AK56" s="358"/>
      <c r="AL56" s="358"/>
      <c r="AM56" s="358"/>
      <c r="AN56" s="358"/>
      <c r="AO56" s="358"/>
      <c r="AP56" s="358"/>
      <c r="AQ56" s="358"/>
      <c r="AR56" s="358"/>
    </row>
    <row r="57" spans="2:62">
      <c r="C57" s="389" t="s">
        <v>807</v>
      </c>
      <c r="D57" s="389"/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89"/>
      <c r="R57" s="389"/>
      <c r="S57" s="389"/>
      <c r="T57" s="357"/>
      <c r="U57" s="859">
        <f>SUM(AC57:AR57)</f>
        <v>95</v>
      </c>
      <c r="V57" s="859"/>
      <c r="W57" s="859"/>
      <c r="X57" s="859"/>
      <c r="Y57" s="859"/>
      <c r="Z57" s="859"/>
      <c r="AA57" s="859"/>
      <c r="AB57" s="859"/>
      <c r="AC57" s="859">
        <v>46</v>
      </c>
      <c r="AD57" s="859"/>
      <c r="AE57" s="859"/>
      <c r="AF57" s="859"/>
      <c r="AG57" s="859"/>
      <c r="AH57" s="859"/>
      <c r="AI57" s="859"/>
      <c r="AJ57" s="859"/>
      <c r="AK57" s="859">
        <v>49</v>
      </c>
      <c r="AL57" s="859"/>
      <c r="AM57" s="859"/>
      <c r="AN57" s="859"/>
      <c r="AO57" s="859"/>
      <c r="AP57" s="859"/>
      <c r="AQ57" s="859"/>
      <c r="AR57" s="859"/>
      <c r="AS57" s="391">
        <v>92</v>
      </c>
      <c r="AT57" s="391"/>
      <c r="AU57" s="391"/>
      <c r="AV57" s="391"/>
      <c r="AW57" s="391"/>
      <c r="AX57" s="391"/>
      <c r="AY57" s="391"/>
      <c r="AZ57" s="391"/>
      <c r="BA57" s="391"/>
      <c r="BB57" s="391">
        <v>3</v>
      </c>
      <c r="BC57" s="391"/>
      <c r="BD57" s="391"/>
      <c r="BE57" s="391"/>
      <c r="BF57" s="391"/>
      <c r="BG57" s="391"/>
      <c r="BH57" s="391"/>
      <c r="BI57" s="391"/>
      <c r="BJ57" s="391"/>
    </row>
    <row r="58" spans="2:62"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59"/>
      <c r="R58" s="313"/>
      <c r="S58" s="313"/>
      <c r="T58" s="22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8"/>
      <c r="AH58" s="358"/>
      <c r="AI58" s="358"/>
      <c r="AJ58" s="358"/>
      <c r="AK58" s="358"/>
      <c r="AL58" s="358"/>
      <c r="AM58" s="358"/>
      <c r="AN58" s="358"/>
      <c r="AO58" s="358"/>
      <c r="AP58" s="358"/>
      <c r="AQ58" s="358"/>
      <c r="AR58" s="358"/>
    </row>
    <row r="59" spans="2:62">
      <c r="C59" s="389" t="s">
        <v>806</v>
      </c>
      <c r="D59" s="389"/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  <c r="S59" s="389"/>
      <c r="T59" s="357"/>
      <c r="U59" s="859">
        <f>SUM(AC59:AR59)</f>
        <v>2</v>
      </c>
      <c r="V59" s="859"/>
      <c r="W59" s="859"/>
      <c r="X59" s="859"/>
      <c r="Y59" s="859"/>
      <c r="Z59" s="859"/>
      <c r="AA59" s="859"/>
      <c r="AB59" s="859"/>
      <c r="AC59" s="859">
        <v>0</v>
      </c>
      <c r="AD59" s="859"/>
      <c r="AE59" s="859"/>
      <c r="AF59" s="859"/>
      <c r="AG59" s="859"/>
      <c r="AH59" s="859"/>
      <c r="AI59" s="859"/>
      <c r="AJ59" s="859"/>
      <c r="AK59" s="859">
        <v>2</v>
      </c>
      <c r="AL59" s="859"/>
      <c r="AM59" s="859"/>
      <c r="AN59" s="859"/>
      <c r="AO59" s="859"/>
      <c r="AP59" s="859"/>
      <c r="AQ59" s="859"/>
      <c r="AR59" s="859"/>
      <c r="AS59" s="391">
        <v>0</v>
      </c>
      <c r="AT59" s="391"/>
      <c r="AU59" s="391"/>
      <c r="AV59" s="391"/>
      <c r="AW59" s="391"/>
      <c r="AX59" s="391"/>
      <c r="AY59" s="391"/>
      <c r="AZ59" s="391"/>
      <c r="BA59" s="391"/>
      <c r="BB59" s="391">
        <v>2</v>
      </c>
      <c r="BC59" s="391"/>
      <c r="BD59" s="391"/>
      <c r="BE59" s="391"/>
      <c r="BF59" s="391"/>
      <c r="BG59" s="391"/>
      <c r="BH59" s="391"/>
      <c r="BI59" s="391"/>
      <c r="BJ59" s="391"/>
    </row>
    <row r="60" spans="2:6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2:62">
      <c r="B61" s="404" t="s">
        <v>9</v>
      </c>
      <c r="C61" s="404"/>
      <c r="D61" s="404"/>
      <c r="E61" s="297" t="s">
        <v>827</v>
      </c>
      <c r="F61" s="2" t="s">
        <v>804</v>
      </c>
    </row>
  </sheetData>
  <mergeCells count="180">
    <mergeCell ref="AG8:AK8"/>
    <mergeCell ref="AL8:AP8"/>
    <mergeCell ref="AQ8:AU8"/>
    <mergeCell ref="AV8:AZ8"/>
    <mergeCell ref="BA8:BE8"/>
    <mergeCell ref="BF8:BJ8"/>
    <mergeCell ref="L22:O22"/>
    <mergeCell ref="L24:O24"/>
    <mergeCell ref="B5:BJ5"/>
    <mergeCell ref="B7:Q8"/>
    <mergeCell ref="R8:V8"/>
    <mergeCell ref="W8:AA8"/>
    <mergeCell ref="AB8:AF8"/>
    <mergeCell ref="R7:AF7"/>
    <mergeCell ref="AG7:AU7"/>
    <mergeCell ref="AV7:BJ7"/>
    <mergeCell ref="R10:V10"/>
    <mergeCell ref="W10:AA10"/>
    <mergeCell ref="AB10:AF10"/>
    <mergeCell ref="AG10:AK10"/>
    <mergeCell ref="AL10:AP10"/>
    <mergeCell ref="R14:V14"/>
    <mergeCell ref="W14:AA14"/>
    <mergeCell ref="C10:P10"/>
    <mergeCell ref="C12:P12"/>
    <mergeCell ref="R12:V12"/>
    <mergeCell ref="W12:AA12"/>
    <mergeCell ref="AB12:AF12"/>
    <mergeCell ref="AG12:AK12"/>
    <mergeCell ref="BF10:BJ10"/>
    <mergeCell ref="AL12:AP12"/>
    <mergeCell ref="AQ12:AU12"/>
    <mergeCell ref="AV12:AZ12"/>
    <mergeCell ref="BA12:BE12"/>
    <mergeCell ref="BF12:BJ12"/>
    <mergeCell ref="AQ10:AU10"/>
    <mergeCell ref="W18:AA18"/>
    <mergeCell ref="AB18:AF18"/>
    <mergeCell ref="AG18:AK18"/>
    <mergeCell ref="AL18:AP18"/>
    <mergeCell ref="AQ14:AU14"/>
    <mergeCell ref="AV14:AZ14"/>
    <mergeCell ref="AV16:AZ16"/>
    <mergeCell ref="AB14:AF14"/>
    <mergeCell ref="AG14:AK14"/>
    <mergeCell ref="AL14:AP14"/>
    <mergeCell ref="AV10:AZ10"/>
    <mergeCell ref="BA10:BE10"/>
    <mergeCell ref="BF14:BJ14"/>
    <mergeCell ref="AV18:AZ18"/>
    <mergeCell ref="BA18:BE18"/>
    <mergeCell ref="BF18:BJ18"/>
    <mergeCell ref="R16:V16"/>
    <mergeCell ref="W16:AA16"/>
    <mergeCell ref="AB16:AF16"/>
    <mergeCell ref="AG16:AK16"/>
    <mergeCell ref="AL16:AP16"/>
    <mergeCell ref="AQ16:AU16"/>
    <mergeCell ref="BA14:BE14"/>
    <mergeCell ref="R20:V20"/>
    <mergeCell ref="W20:AA20"/>
    <mergeCell ref="AB20:AF20"/>
    <mergeCell ref="AQ20:AU20"/>
    <mergeCell ref="BA16:BE16"/>
    <mergeCell ref="AQ18:AU18"/>
    <mergeCell ref="AV20:AZ20"/>
    <mergeCell ref="BA20:BE20"/>
    <mergeCell ref="BF20:BJ20"/>
    <mergeCell ref="AG20:AK20"/>
    <mergeCell ref="AL20:AP20"/>
    <mergeCell ref="F26:G26"/>
    <mergeCell ref="F28:G28"/>
    <mergeCell ref="AS37:BA37"/>
    <mergeCell ref="BB37:BJ37"/>
    <mergeCell ref="AS36:BJ36"/>
    <mergeCell ref="AK36:AR37"/>
    <mergeCell ref="B36:T37"/>
    <mergeCell ref="AC36:AJ37"/>
    <mergeCell ref="AQ22:AU22"/>
    <mergeCell ref="AV22:AZ22"/>
    <mergeCell ref="BA22:BE22"/>
    <mergeCell ref="BF22:BJ22"/>
    <mergeCell ref="R22:V22"/>
    <mergeCell ref="W22:AA22"/>
    <mergeCell ref="AB22:AF22"/>
    <mergeCell ref="AG22:AK22"/>
    <mergeCell ref="AL22:AP22"/>
    <mergeCell ref="R24:V24"/>
    <mergeCell ref="W24:AA24"/>
    <mergeCell ref="AB24:AF24"/>
    <mergeCell ref="AG24:AK24"/>
    <mergeCell ref="AL24:AP24"/>
    <mergeCell ref="U36:AB37"/>
    <mergeCell ref="AQ24:AU24"/>
    <mergeCell ref="R18:V18"/>
    <mergeCell ref="L20:O20"/>
    <mergeCell ref="AC53:AJ53"/>
    <mergeCell ref="AS39:BA39"/>
    <mergeCell ref="BB39:BJ39"/>
    <mergeCell ref="AK39:AR39"/>
    <mergeCell ref="U49:AB49"/>
    <mergeCell ref="U51:AB51"/>
    <mergeCell ref="C39:S39"/>
    <mergeCell ref="AV24:AZ24"/>
    <mergeCell ref="BA24:BE24"/>
    <mergeCell ref="BF24:BJ24"/>
    <mergeCell ref="C14:D25"/>
    <mergeCell ref="E14:F19"/>
    <mergeCell ref="E20:F25"/>
    <mergeCell ref="I14:O14"/>
    <mergeCell ref="BF16:BJ16"/>
    <mergeCell ref="I16:O16"/>
    <mergeCell ref="I18:O18"/>
    <mergeCell ref="I20:K20"/>
    <mergeCell ref="I22:K22"/>
    <mergeCell ref="I24:K24"/>
    <mergeCell ref="C26:D26"/>
    <mergeCell ref="B29:D29"/>
    <mergeCell ref="B34:BJ34"/>
    <mergeCell ref="C59:S59"/>
    <mergeCell ref="AS47:BA47"/>
    <mergeCell ref="BB47:BJ47"/>
    <mergeCell ref="AK47:AR47"/>
    <mergeCell ref="AS49:BA49"/>
    <mergeCell ref="AK57:AR57"/>
    <mergeCell ref="BB49:BJ49"/>
    <mergeCell ref="AS43:BA43"/>
    <mergeCell ref="AC43:AJ43"/>
    <mergeCell ref="AC45:AJ45"/>
    <mergeCell ref="AC47:AJ47"/>
    <mergeCell ref="U39:AB39"/>
    <mergeCell ref="U41:AB41"/>
    <mergeCell ref="U43:AB43"/>
    <mergeCell ref="U45:AB45"/>
    <mergeCell ref="C41:S41"/>
    <mergeCell ref="AS41:BA41"/>
    <mergeCell ref="BB41:BJ41"/>
    <mergeCell ref="AK41:AR41"/>
    <mergeCell ref="AC39:AJ39"/>
    <mergeCell ref="AC41:AJ41"/>
    <mergeCell ref="AS1:BK2"/>
    <mergeCell ref="B61:D61"/>
    <mergeCell ref="AS59:BA59"/>
    <mergeCell ref="AC59:AJ59"/>
    <mergeCell ref="AS55:BA55"/>
    <mergeCell ref="BB55:BJ55"/>
    <mergeCell ref="AK55:AR55"/>
    <mergeCell ref="AC55:AJ55"/>
    <mergeCell ref="BB59:BJ59"/>
    <mergeCell ref="AS57:BA57"/>
    <mergeCell ref="U55:AB55"/>
    <mergeCell ref="D43:S43"/>
    <mergeCell ref="D45:S45"/>
    <mergeCell ref="C47:S47"/>
    <mergeCell ref="C49:S49"/>
    <mergeCell ref="U47:AB47"/>
    <mergeCell ref="AK43:AR43"/>
    <mergeCell ref="AK45:AR45"/>
    <mergeCell ref="U57:AB57"/>
    <mergeCell ref="C51:S51"/>
    <mergeCell ref="C53:S53"/>
    <mergeCell ref="C55:S55"/>
    <mergeCell ref="C57:S57"/>
    <mergeCell ref="AK49:AR49"/>
    <mergeCell ref="BB43:BJ43"/>
    <mergeCell ref="AS45:BA45"/>
    <mergeCell ref="BB45:BJ45"/>
    <mergeCell ref="U59:AB59"/>
    <mergeCell ref="BB57:BJ57"/>
    <mergeCell ref="AK59:AR59"/>
    <mergeCell ref="AC57:AJ57"/>
    <mergeCell ref="AS51:BA51"/>
    <mergeCell ref="BB51:BJ51"/>
    <mergeCell ref="AK51:AR51"/>
    <mergeCell ref="AC51:AJ51"/>
    <mergeCell ref="AS53:BA53"/>
    <mergeCell ref="BB53:BJ53"/>
    <mergeCell ref="AK53:AR53"/>
    <mergeCell ref="AC49:AJ49"/>
    <mergeCell ref="U53:AB53"/>
  </mergeCells>
  <phoneticPr fontId="2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L67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4" ht="11.1" customHeight="1"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369">
        <f>'184'!A1+1</f>
        <v>185</v>
      </c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</row>
    <row r="2" spans="2:64" ht="11.1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</row>
    <row r="3" spans="2:64" ht="11.1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</row>
    <row r="4" spans="2:64" ht="11.1" customHeight="1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</row>
    <row r="5" spans="2:64" ht="18" customHeight="1">
      <c r="B5" s="379" t="s">
        <v>386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</row>
    <row r="6" spans="2:64" ht="12.95" customHeight="1">
      <c r="B6" s="380" t="s">
        <v>93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  <c r="BJ6" s="380"/>
    </row>
    <row r="7" spans="2:64" ht="12.95" customHeight="1">
      <c r="BJ7" s="3"/>
    </row>
    <row r="8" spans="2:64" ht="15" customHeight="1">
      <c r="B8" s="381" t="s">
        <v>96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6" t="s">
        <v>98</v>
      </c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 t="s">
        <v>99</v>
      </c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 t="s">
        <v>100</v>
      </c>
      <c r="AN8" s="386"/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 t="s">
        <v>101</v>
      </c>
      <c r="AZ8" s="386"/>
      <c r="BA8" s="386"/>
      <c r="BB8" s="386"/>
      <c r="BC8" s="386"/>
      <c r="BD8" s="386"/>
      <c r="BE8" s="386"/>
      <c r="BF8" s="386"/>
      <c r="BG8" s="386"/>
      <c r="BH8" s="386"/>
      <c r="BI8" s="386"/>
      <c r="BJ8" s="387"/>
    </row>
    <row r="9" spans="2:64" ht="15" customHeight="1">
      <c r="B9" s="383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5" t="s">
        <v>94</v>
      </c>
      <c r="P9" s="385"/>
      <c r="Q9" s="385"/>
      <c r="R9" s="385"/>
      <c r="S9" s="385"/>
      <c r="T9" s="385"/>
      <c r="U9" s="385" t="s">
        <v>95</v>
      </c>
      <c r="V9" s="385"/>
      <c r="W9" s="385"/>
      <c r="X9" s="385"/>
      <c r="Y9" s="385"/>
      <c r="Z9" s="385"/>
      <c r="AA9" s="385" t="s">
        <v>94</v>
      </c>
      <c r="AB9" s="385"/>
      <c r="AC9" s="385"/>
      <c r="AD9" s="385"/>
      <c r="AE9" s="385"/>
      <c r="AF9" s="385"/>
      <c r="AG9" s="385" t="s">
        <v>95</v>
      </c>
      <c r="AH9" s="385"/>
      <c r="AI9" s="385"/>
      <c r="AJ9" s="385"/>
      <c r="AK9" s="385"/>
      <c r="AL9" s="385"/>
      <c r="AM9" s="385" t="s">
        <v>94</v>
      </c>
      <c r="AN9" s="385"/>
      <c r="AO9" s="385"/>
      <c r="AP9" s="385"/>
      <c r="AQ9" s="385"/>
      <c r="AR9" s="385"/>
      <c r="AS9" s="385" t="s">
        <v>95</v>
      </c>
      <c r="AT9" s="385"/>
      <c r="AU9" s="385"/>
      <c r="AV9" s="385"/>
      <c r="AW9" s="385"/>
      <c r="AX9" s="385"/>
      <c r="AY9" s="385" t="s">
        <v>94</v>
      </c>
      <c r="AZ9" s="385"/>
      <c r="BA9" s="385"/>
      <c r="BB9" s="385"/>
      <c r="BC9" s="385"/>
      <c r="BD9" s="385"/>
      <c r="BE9" s="385" t="s">
        <v>95</v>
      </c>
      <c r="BF9" s="385"/>
      <c r="BG9" s="385"/>
      <c r="BH9" s="385"/>
      <c r="BI9" s="385"/>
      <c r="BJ9" s="388"/>
    </row>
    <row r="10" spans="2:64">
      <c r="N10" s="21"/>
    </row>
    <row r="11" spans="2:64">
      <c r="C11" s="389" t="s">
        <v>97</v>
      </c>
      <c r="D11" s="389"/>
      <c r="E11" s="389"/>
      <c r="F11" s="389"/>
      <c r="G11" s="380">
        <v>20</v>
      </c>
      <c r="H11" s="380"/>
      <c r="I11" s="380"/>
      <c r="J11" s="389" t="s">
        <v>96</v>
      </c>
      <c r="K11" s="389"/>
      <c r="L11" s="389"/>
      <c r="M11" s="389"/>
      <c r="N11" s="22"/>
      <c r="O11" s="390">
        <v>9125</v>
      </c>
      <c r="P11" s="393"/>
      <c r="Q11" s="393"/>
      <c r="R11" s="393"/>
      <c r="S11" s="393"/>
      <c r="T11" s="393"/>
      <c r="U11" s="390">
        <v>12959</v>
      </c>
      <c r="V11" s="391"/>
      <c r="W11" s="391"/>
      <c r="X11" s="391"/>
      <c r="Y11" s="391"/>
      <c r="Z11" s="391"/>
      <c r="AA11" s="390">
        <v>7975</v>
      </c>
      <c r="AB11" s="391"/>
      <c r="AC11" s="391"/>
      <c r="AD11" s="391"/>
      <c r="AE11" s="391"/>
      <c r="AF11" s="391"/>
      <c r="AG11" s="390">
        <v>11329</v>
      </c>
      <c r="AH11" s="391"/>
      <c r="AI11" s="391"/>
      <c r="AJ11" s="391"/>
      <c r="AK11" s="391"/>
      <c r="AL11" s="391"/>
      <c r="AM11" s="390">
        <v>8088</v>
      </c>
      <c r="AN11" s="391"/>
      <c r="AO11" s="391"/>
      <c r="AP11" s="391"/>
      <c r="AQ11" s="391"/>
      <c r="AR11" s="391"/>
      <c r="AS11" s="390">
        <v>11616</v>
      </c>
      <c r="AT11" s="391"/>
      <c r="AU11" s="391"/>
      <c r="AV11" s="391"/>
      <c r="AW11" s="391"/>
      <c r="AX11" s="391"/>
      <c r="AY11" s="390">
        <v>786</v>
      </c>
      <c r="AZ11" s="391"/>
      <c r="BA11" s="391"/>
      <c r="BB11" s="391"/>
      <c r="BC11" s="391"/>
      <c r="BD11" s="391"/>
      <c r="BE11" s="390">
        <v>1119</v>
      </c>
      <c r="BF11" s="391"/>
      <c r="BG11" s="391"/>
      <c r="BH11" s="391"/>
      <c r="BI11" s="391"/>
      <c r="BJ11" s="391"/>
      <c r="BK11" s="11"/>
      <c r="BL11" s="11"/>
    </row>
    <row r="12" spans="2:64">
      <c r="G12" s="380">
        <v>21</v>
      </c>
      <c r="H12" s="380"/>
      <c r="I12" s="380"/>
      <c r="N12" s="22"/>
      <c r="O12" s="390">
        <v>10214</v>
      </c>
      <c r="P12" s="393"/>
      <c r="Q12" s="393"/>
      <c r="R12" s="393"/>
      <c r="S12" s="393"/>
      <c r="T12" s="393"/>
      <c r="U12" s="390">
        <v>14404</v>
      </c>
      <c r="V12" s="391"/>
      <c r="W12" s="391"/>
      <c r="X12" s="391"/>
      <c r="Y12" s="391"/>
      <c r="Z12" s="391"/>
      <c r="AA12" s="390">
        <v>9067</v>
      </c>
      <c r="AB12" s="391"/>
      <c r="AC12" s="391"/>
      <c r="AD12" s="391"/>
      <c r="AE12" s="391"/>
      <c r="AF12" s="391"/>
      <c r="AG12" s="390">
        <v>12857</v>
      </c>
      <c r="AH12" s="391"/>
      <c r="AI12" s="391"/>
      <c r="AJ12" s="391"/>
      <c r="AK12" s="391"/>
      <c r="AL12" s="391"/>
      <c r="AM12" s="390">
        <v>9093</v>
      </c>
      <c r="AN12" s="391"/>
      <c r="AO12" s="391"/>
      <c r="AP12" s="391"/>
      <c r="AQ12" s="391"/>
      <c r="AR12" s="391"/>
      <c r="AS12" s="390">
        <v>12955</v>
      </c>
      <c r="AT12" s="391"/>
      <c r="AU12" s="391"/>
      <c r="AV12" s="391"/>
      <c r="AW12" s="391"/>
      <c r="AX12" s="391"/>
      <c r="AY12" s="390">
        <v>850</v>
      </c>
      <c r="AZ12" s="391"/>
      <c r="BA12" s="391"/>
      <c r="BB12" s="391"/>
      <c r="BC12" s="391"/>
      <c r="BD12" s="391"/>
      <c r="BE12" s="390">
        <v>1190</v>
      </c>
      <c r="BF12" s="391"/>
      <c r="BG12" s="391"/>
      <c r="BH12" s="391"/>
      <c r="BI12" s="391"/>
      <c r="BJ12" s="391"/>
      <c r="BK12" s="8"/>
      <c r="BL12" s="8"/>
    </row>
    <row r="13" spans="2:64">
      <c r="G13" s="380">
        <v>22</v>
      </c>
      <c r="H13" s="380"/>
      <c r="I13" s="380"/>
      <c r="N13" s="22"/>
      <c r="O13" s="390">
        <v>11154</v>
      </c>
      <c r="P13" s="393"/>
      <c r="Q13" s="393"/>
      <c r="R13" s="393"/>
      <c r="S13" s="393"/>
      <c r="T13" s="393"/>
      <c r="U13" s="390">
        <v>15616</v>
      </c>
      <c r="V13" s="391"/>
      <c r="W13" s="391"/>
      <c r="X13" s="391"/>
      <c r="Y13" s="391"/>
      <c r="Z13" s="391"/>
      <c r="AA13" s="390">
        <v>9961</v>
      </c>
      <c r="AB13" s="391"/>
      <c r="AC13" s="391"/>
      <c r="AD13" s="391"/>
      <c r="AE13" s="391"/>
      <c r="AF13" s="391"/>
      <c r="AG13" s="390">
        <v>13994</v>
      </c>
      <c r="AH13" s="391"/>
      <c r="AI13" s="391"/>
      <c r="AJ13" s="391"/>
      <c r="AK13" s="391"/>
      <c r="AL13" s="391"/>
      <c r="AM13" s="390">
        <v>10033</v>
      </c>
      <c r="AN13" s="391"/>
      <c r="AO13" s="391"/>
      <c r="AP13" s="391"/>
      <c r="AQ13" s="391"/>
      <c r="AR13" s="391"/>
      <c r="AS13" s="390">
        <v>14184</v>
      </c>
      <c r="AT13" s="391"/>
      <c r="AU13" s="391"/>
      <c r="AV13" s="391"/>
      <c r="AW13" s="391"/>
      <c r="AX13" s="391"/>
      <c r="AY13" s="390">
        <v>893</v>
      </c>
      <c r="AZ13" s="391"/>
      <c r="BA13" s="391"/>
      <c r="BB13" s="391"/>
      <c r="BC13" s="391"/>
      <c r="BD13" s="391"/>
      <c r="BE13" s="390">
        <v>1231</v>
      </c>
      <c r="BF13" s="391"/>
      <c r="BG13" s="391"/>
      <c r="BH13" s="391"/>
      <c r="BI13" s="391"/>
      <c r="BJ13" s="391"/>
      <c r="BK13" s="8"/>
      <c r="BL13" s="8"/>
    </row>
    <row r="14" spans="2:64">
      <c r="G14" s="380">
        <v>23</v>
      </c>
      <c r="H14" s="380"/>
      <c r="I14" s="380"/>
      <c r="N14" s="22"/>
      <c r="O14" s="390">
        <v>11870</v>
      </c>
      <c r="P14" s="393"/>
      <c r="Q14" s="393"/>
      <c r="R14" s="393"/>
      <c r="S14" s="393"/>
      <c r="T14" s="393"/>
      <c r="U14" s="390">
        <v>16515</v>
      </c>
      <c r="V14" s="391"/>
      <c r="W14" s="391"/>
      <c r="X14" s="391"/>
      <c r="Y14" s="391"/>
      <c r="Z14" s="391"/>
      <c r="AA14" s="390">
        <v>10562</v>
      </c>
      <c r="AB14" s="391"/>
      <c r="AC14" s="391"/>
      <c r="AD14" s="391"/>
      <c r="AE14" s="391"/>
      <c r="AF14" s="391"/>
      <c r="AG14" s="390">
        <v>14736</v>
      </c>
      <c r="AH14" s="391"/>
      <c r="AI14" s="391"/>
      <c r="AJ14" s="391"/>
      <c r="AK14" s="391"/>
      <c r="AL14" s="391"/>
      <c r="AM14" s="390">
        <v>10659</v>
      </c>
      <c r="AN14" s="391"/>
      <c r="AO14" s="391"/>
      <c r="AP14" s="391"/>
      <c r="AQ14" s="391"/>
      <c r="AR14" s="391"/>
      <c r="AS14" s="390">
        <v>14967</v>
      </c>
      <c r="AT14" s="391"/>
      <c r="AU14" s="391"/>
      <c r="AV14" s="391"/>
      <c r="AW14" s="391"/>
      <c r="AX14" s="391"/>
      <c r="AY14" s="390">
        <v>922</v>
      </c>
      <c r="AZ14" s="391"/>
      <c r="BA14" s="391"/>
      <c r="BB14" s="391"/>
      <c r="BC14" s="391"/>
      <c r="BD14" s="391"/>
      <c r="BE14" s="390">
        <v>1263</v>
      </c>
      <c r="BF14" s="391"/>
      <c r="BG14" s="391"/>
      <c r="BH14" s="391"/>
      <c r="BI14" s="391"/>
      <c r="BJ14" s="391"/>
      <c r="BK14" s="8"/>
      <c r="BL14" s="8"/>
    </row>
    <row r="15" spans="2:64">
      <c r="G15" s="392">
        <v>24</v>
      </c>
      <c r="H15" s="392"/>
      <c r="I15" s="392"/>
      <c r="N15" s="22"/>
      <c r="O15" s="394">
        <v>12427</v>
      </c>
      <c r="P15" s="395"/>
      <c r="Q15" s="395"/>
      <c r="R15" s="395"/>
      <c r="S15" s="395"/>
      <c r="T15" s="395"/>
      <c r="U15" s="394">
        <v>17115</v>
      </c>
      <c r="V15" s="396"/>
      <c r="W15" s="396"/>
      <c r="X15" s="396"/>
      <c r="Y15" s="396"/>
      <c r="Z15" s="396"/>
      <c r="AA15" s="394">
        <v>11081</v>
      </c>
      <c r="AB15" s="396"/>
      <c r="AC15" s="396"/>
      <c r="AD15" s="396"/>
      <c r="AE15" s="396"/>
      <c r="AF15" s="396"/>
      <c r="AG15" s="394">
        <v>15225</v>
      </c>
      <c r="AH15" s="396"/>
      <c r="AI15" s="396"/>
      <c r="AJ15" s="396"/>
      <c r="AK15" s="396"/>
      <c r="AL15" s="396"/>
      <c r="AM15" s="394">
        <v>11236</v>
      </c>
      <c r="AN15" s="396"/>
      <c r="AO15" s="396"/>
      <c r="AP15" s="396"/>
      <c r="AQ15" s="396"/>
      <c r="AR15" s="396"/>
      <c r="AS15" s="394">
        <v>15501</v>
      </c>
      <c r="AT15" s="396"/>
      <c r="AU15" s="396"/>
      <c r="AV15" s="396"/>
      <c r="AW15" s="396"/>
      <c r="AX15" s="396"/>
      <c r="AY15" s="394">
        <v>901</v>
      </c>
      <c r="AZ15" s="396"/>
      <c r="BA15" s="396"/>
      <c r="BB15" s="396"/>
      <c r="BC15" s="396"/>
      <c r="BD15" s="396"/>
      <c r="BE15" s="394">
        <v>1225</v>
      </c>
      <c r="BF15" s="396"/>
      <c r="BG15" s="396"/>
      <c r="BH15" s="396"/>
      <c r="BI15" s="396"/>
      <c r="BJ15" s="396"/>
      <c r="BK15" s="10"/>
      <c r="BL15" s="10"/>
    </row>
    <row r="16" spans="2:64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2:64" ht="15" customHeight="1">
      <c r="B17" s="381" t="s">
        <v>96</v>
      </c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6" t="s">
        <v>102</v>
      </c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 t="s">
        <v>103</v>
      </c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 t="s">
        <v>450</v>
      </c>
      <c r="AN17" s="386"/>
      <c r="AO17" s="386"/>
      <c r="AP17" s="386"/>
      <c r="AQ17" s="386"/>
      <c r="AR17" s="386"/>
      <c r="AS17" s="386"/>
      <c r="AT17" s="386"/>
      <c r="AU17" s="386" t="s">
        <v>451</v>
      </c>
      <c r="AV17" s="386"/>
      <c r="AW17" s="386"/>
      <c r="AX17" s="386"/>
      <c r="AY17" s="386"/>
      <c r="AZ17" s="386"/>
      <c r="BA17" s="386"/>
      <c r="BB17" s="386"/>
      <c r="BC17" s="386" t="s">
        <v>452</v>
      </c>
      <c r="BD17" s="386"/>
      <c r="BE17" s="386"/>
      <c r="BF17" s="386"/>
      <c r="BG17" s="386"/>
      <c r="BH17" s="386"/>
      <c r="BI17" s="386"/>
      <c r="BJ17" s="387"/>
    </row>
    <row r="18" spans="2:64" ht="15" customHeight="1">
      <c r="B18" s="383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5" t="s">
        <v>94</v>
      </c>
      <c r="P18" s="385"/>
      <c r="Q18" s="385"/>
      <c r="R18" s="385"/>
      <c r="S18" s="385"/>
      <c r="T18" s="385"/>
      <c r="U18" s="385" t="s">
        <v>95</v>
      </c>
      <c r="V18" s="385"/>
      <c r="W18" s="385"/>
      <c r="X18" s="385"/>
      <c r="Y18" s="385"/>
      <c r="Z18" s="385"/>
      <c r="AA18" s="385" t="s">
        <v>94</v>
      </c>
      <c r="AB18" s="385"/>
      <c r="AC18" s="385"/>
      <c r="AD18" s="385"/>
      <c r="AE18" s="385"/>
      <c r="AF18" s="385"/>
      <c r="AG18" s="385" t="s">
        <v>95</v>
      </c>
      <c r="AH18" s="385"/>
      <c r="AI18" s="385"/>
      <c r="AJ18" s="385"/>
      <c r="AK18" s="385"/>
      <c r="AL18" s="385"/>
      <c r="AM18" s="385" t="s">
        <v>94</v>
      </c>
      <c r="AN18" s="385"/>
      <c r="AO18" s="385"/>
      <c r="AP18" s="385"/>
      <c r="AQ18" s="385" t="s">
        <v>95</v>
      </c>
      <c r="AR18" s="385"/>
      <c r="AS18" s="385"/>
      <c r="AT18" s="385"/>
      <c r="AU18" s="385" t="s">
        <v>94</v>
      </c>
      <c r="AV18" s="385"/>
      <c r="AW18" s="385"/>
      <c r="AX18" s="385"/>
      <c r="AY18" s="385" t="s">
        <v>95</v>
      </c>
      <c r="AZ18" s="385"/>
      <c r="BA18" s="385"/>
      <c r="BB18" s="385"/>
      <c r="BC18" s="385" t="s">
        <v>94</v>
      </c>
      <c r="BD18" s="385"/>
      <c r="BE18" s="385"/>
      <c r="BF18" s="385"/>
      <c r="BG18" s="385" t="s">
        <v>95</v>
      </c>
      <c r="BH18" s="385"/>
      <c r="BI18" s="385"/>
      <c r="BJ18" s="388"/>
    </row>
    <row r="19" spans="2:64">
      <c r="N19" s="21"/>
    </row>
    <row r="20" spans="2:64">
      <c r="C20" s="389" t="s">
        <v>97</v>
      </c>
      <c r="D20" s="389"/>
      <c r="E20" s="389"/>
      <c r="F20" s="389"/>
      <c r="G20" s="380">
        <v>20</v>
      </c>
      <c r="H20" s="380"/>
      <c r="I20" s="380"/>
      <c r="J20" s="389" t="s">
        <v>96</v>
      </c>
      <c r="K20" s="389"/>
      <c r="L20" s="389"/>
      <c r="M20" s="389"/>
      <c r="N20" s="22"/>
      <c r="O20" s="390">
        <v>1338</v>
      </c>
      <c r="P20" s="391"/>
      <c r="Q20" s="391"/>
      <c r="R20" s="391"/>
      <c r="S20" s="391"/>
      <c r="T20" s="391"/>
      <c r="U20" s="390">
        <v>1389</v>
      </c>
      <c r="V20" s="391"/>
      <c r="W20" s="391"/>
      <c r="X20" s="391"/>
      <c r="Y20" s="391"/>
      <c r="Z20" s="391"/>
      <c r="AA20" s="390">
        <v>7197</v>
      </c>
      <c r="AB20" s="391"/>
      <c r="AC20" s="391"/>
      <c r="AD20" s="391"/>
      <c r="AE20" s="391"/>
      <c r="AF20" s="391"/>
      <c r="AG20" s="390">
        <v>9006</v>
      </c>
      <c r="AH20" s="391"/>
      <c r="AI20" s="391"/>
      <c r="AJ20" s="391"/>
      <c r="AK20" s="391"/>
      <c r="AL20" s="391"/>
      <c r="AM20" s="402">
        <v>9</v>
      </c>
      <c r="AN20" s="403"/>
      <c r="AO20" s="403"/>
      <c r="AP20" s="403"/>
      <c r="AQ20" s="402">
        <v>9</v>
      </c>
      <c r="AR20" s="403"/>
      <c r="AS20" s="403"/>
      <c r="AT20" s="403"/>
      <c r="AU20" s="390">
        <v>4461</v>
      </c>
      <c r="AV20" s="391"/>
      <c r="AW20" s="391"/>
      <c r="AX20" s="391"/>
      <c r="AY20" s="390">
        <v>5428</v>
      </c>
      <c r="AZ20" s="393"/>
      <c r="BA20" s="393"/>
      <c r="BB20" s="393"/>
      <c r="BC20" s="390">
        <v>338</v>
      </c>
      <c r="BD20" s="393"/>
      <c r="BE20" s="393"/>
      <c r="BF20" s="393"/>
      <c r="BG20" s="390">
        <v>338</v>
      </c>
      <c r="BH20" s="391"/>
      <c r="BI20" s="391"/>
      <c r="BJ20" s="391"/>
      <c r="BK20" s="11"/>
      <c r="BL20" s="11"/>
    </row>
    <row r="21" spans="2:64">
      <c r="G21" s="380">
        <v>21</v>
      </c>
      <c r="H21" s="380"/>
      <c r="I21" s="380"/>
      <c r="N21" s="22"/>
      <c r="O21" s="390">
        <v>1520</v>
      </c>
      <c r="P21" s="391"/>
      <c r="Q21" s="391"/>
      <c r="R21" s="391"/>
      <c r="S21" s="391"/>
      <c r="T21" s="391"/>
      <c r="U21" s="390">
        <v>1579</v>
      </c>
      <c r="V21" s="391"/>
      <c r="W21" s="391"/>
      <c r="X21" s="391"/>
      <c r="Y21" s="391"/>
      <c r="Z21" s="391"/>
      <c r="AA21" s="390">
        <v>8058</v>
      </c>
      <c r="AB21" s="391"/>
      <c r="AC21" s="391"/>
      <c r="AD21" s="391"/>
      <c r="AE21" s="391"/>
      <c r="AF21" s="391"/>
      <c r="AG21" s="390">
        <v>10040</v>
      </c>
      <c r="AH21" s="391"/>
      <c r="AI21" s="391"/>
      <c r="AJ21" s="391"/>
      <c r="AK21" s="391"/>
      <c r="AL21" s="391"/>
      <c r="AM21" s="402">
        <v>9</v>
      </c>
      <c r="AN21" s="403"/>
      <c r="AO21" s="403"/>
      <c r="AP21" s="403"/>
      <c r="AQ21" s="402">
        <v>9</v>
      </c>
      <c r="AR21" s="403"/>
      <c r="AS21" s="403"/>
      <c r="AT21" s="403"/>
      <c r="AU21" s="390">
        <v>4869</v>
      </c>
      <c r="AV21" s="391"/>
      <c r="AW21" s="391"/>
      <c r="AX21" s="391"/>
      <c r="AY21" s="390">
        <v>5405</v>
      </c>
      <c r="AZ21" s="393"/>
      <c r="BA21" s="393"/>
      <c r="BB21" s="393"/>
      <c r="BC21" s="390">
        <v>291</v>
      </c>
      <c r="BD21" s="393"/>
      <c r="BE21" s="393"/>
      <c r="BF21" s="393"/>
      <c r="BG21" s="390">
        <v>291</v>
      </c>
      <c r="BH21" s="391"/>
      <c r="BI21" s="391"/>
      <c r="BJ21" s="391"/>
      <c r="BK21" s="8"/>
      <c r="BL21" s="8"/>
    </row>
    <row r="22" spans="2:64">
      <c r="G22" s="380">
        <v>22</v>
      </c>
      <c r="H22" s="380"/>
      <c r="I22" s="380"/>
      <c r="N22" s="22"/>
      <c r="O22" s="390">
        <v>1634</v>
      </c>
      <c r="P22" s="391"/>
      <c r="Q22" s="391"/>
      <c r="R22" s="391"/>
      <c r="S22" s="391"/>
      <c r="T22" s="391"/>
      <c r="U22" s="390">
        <v>1693</v>
      </c>
      <c r="V22" s="391"/>
      <c r="W22" s="391"/>
      <c r="X22" s="391"/>
      <c r="Y22" s="391"/>
      <c r="Z22" s="391"/>
      <c r="AA22" s="390">
        <v>8698</v>
      </c>
      <c r="AB22" s="391"/>
      <c r="AC22" s="391"/>
      <c r="AD22" s="391"/>
      <c r="AE22" s="391"/>
      <c r="AF22" s="391"/>
      <c r="AG22" s="390">
        <v>10898</v>
      </c>
      <c r="AH22" s="391"/>
      <c r="AI22" s="391"/>
      <c r="AJ22" s="391"/>
      <c r="AK22" s="391"/>
      <c r="AL22" s="391"/>
      <c r="AM22" s="402">
        <v>9</v>
      </c>
      <c r="AN22" s="403"/>
      <c r="AO22" s="403"/>
      <c r="AP22" s="403"/>
      <c r="AQ22" s="402">
        <v>9</v>
      </c>
      <c r="AR22" s="403"/>
      <c r="AS22" s="403"/>
      <c r="AT22" s="403"/>
      <c r="AU22" s="390">
        <v>5605</v>
      </c>
      <c r="AV22" s="391"/>
      <c r="AW22" s="391"/>
      <c r="AX22" s="391"/>
      <c r="AY22" s="390">
        <v>6351</v>
      </c>
      <c r="AZ22" s="393"/>
      <c r="BA22" s="393"/>
      <c r="BB22" s="393"/>
      <c r="BC22" s="390">
        <v>402</v>
      </c>
      <c r="BD22" s="393"/>
      <c r="BE22" s="393"/>
      <c r="BF22" s="393"/>
      <c r="BG22" s="390">
        <v>402</v>
      </c>
      <c r="BH22" s="391"/>
      <c r="BI22" s="391"/>
      <c r="BJ22" s="391"/>
      <c r="BK22" s="8"/>
      <c r="BL22" s="8"/>
    </row>
    <row r="23" spans="2:64">
      <c r="G23" s="380">
        <v>23</v>
      </c>
      <c r="H23" s="380"/>
      <c r="I23" s="380"/>
      <c r="N23" s="22"/>
      <c r="O23" s="390">
        <v>1802</v>
      </c>
      <c r="P23" s="391"/>
      <c r="Q23" s="391"/>
      <c r="R23" s="391"/>
      <c r="S23" s="391"/>
      <c r="T23" s="391"/>
      <c r="U23" s="390">
        <v>1871</v>
      </c>
      <c r="V23" s="391"/>
      <c r="W23" s="391"/>
      <c r="X23" s="391"/>
      <c r="Y23" s="391"/>
      <c r="Z23" s="391"/>
      <c r="AA23" s="390">
        <v>9269</v>
      </c>
      <c r="AB23" s="391"/>
      <c r="AC23" s="391"/>
      <c r="AD23" s="391"/>
      <c r="AE23" s="391"/>
      <c r="AF23" s="391"/>
      <c r="AG23" s="390">
        <v>11527</v>
      </c>
      <c r="AH23" s="391"/>
      <c r="AI23" s="391"/>
      <c r="AJ23" s="391"/>
      <c r="AK23" s="391"/>
      <c r="AL23" s="391"/>
      <c r="AM23" s="402">
        <v>8</v>
      </c>
      <c r="AN23" s="403"/>
      <c r="AO23" s="403"/>
      <c r="AP23" s="403"/>
      <c r="AQ23" s="402">
        <v>8</v>
      </c>
      <c r="AR23" s="403"/>
      <c r="AS23" s="403"/>
      <c r="AT23" s="403"/>
      <c r="AU23" s="390">
        <v>6034</v>
      </c>
      <c r="AV23" s="391"/>
      <c r="AW23" s="391"/>
      <c r="AX23" s="391"/>
      <c r="AY23" s="390">
        <v>6634</v>
      </c>
      <c r="AZ23" s="393"/>
      <c r="BA23" s="393"/>
      <c r="BB23" s="393"/>
      <c r="BC23" s="390">
        <v>372</v>
      </c>
      <c r="BD23" s="393"/>
      <c r="BE23" s="393"/>
      <c r="BF23" s="393"/>
      <c r="BG23" s="390">
        <v>372</v>
      </c>
      <c r="BH23" s="391"/>
      <c r="BI23" s="391"/>
      <c r="BJ23" s="391"/>
      <c r="BK23" s="8"/>
      <c r="BL23" s="8"/>
    </row>
    <row r="24" spans="2:64">
      <c r="G24" s="392">
        <v>24</v>
      </c>
      <c r="H24" s="392"/>
      <c r="I24" s="392"/>
      <c r="N24" s="6"/>
      <c r="O24" s="401">
        <v>2039</v>
      </c>
      <c r="P24" s="399"/>
      <c r="Q24" s="399"/>
      <c r="R24" s="399"/>
      <c r="S24" s="399"/>
      <c r="T24" s="399"/>
      <c r="U24" s="397">
        <v>2119</v>
      </c>
      <c r="V24" s="399"/>
      <c r="W24" s="399"/>
      <c r="X24" s="399"/>
      <c r="Y24" s="399"/>
      <c r="Z24" s="399"/>
      <c r="AA24" s="397">
        <v>9667</v>
      </c>
      <c r="AB24" s="399"/>
      <c r="AC24" s="399"/>
      <c r="AD24" s="399"/>
      <c r="AE24" s="399"/>
      <c r="AF24" s="399"/>
      <c r="AG24" s="397">
        <v>11941</v>
      </c>
      <c r="AH24" s="399"/>
      <c r="AI24" s="399"/>
      <c r="AJ24" s="399"/>
      <c r="AK24" s="399"/>
      <c r="AL24" s="399"/>
      <c r="AM24" s="405">
        <v>5</v>
      </c>
      <c r="AN24" s="405"/>
      <c r="AO24" s="405"/>
      <c r="AP24" s="405"/>
      <c r="AQ24" s="405">
        <v>5</v>
      </c>
      <c r="AR24" s="405"/>
      <c r="AS24" s="405"/>
      <c r="AT24" s="405"/>
      <c r="AU24" s="397">
        <v>6507</v>
      </c>
      <c r="AV24" s="399"/>
      <c r="AW24" s="399"/>
      <c r="AX24" s="399"/>
      <c r="AY24" s="397">
        <v>6783</v>
      </c>
      <c r="AZ24" s="398"/>
      <c r="BA24" s="398"/>
      <c r="BB24" s="398"/>
      <c r="BC24" s="397">
        <v>398</v>
      </c>
      <c r="BD24" s="398"/>
      <c r="BE24" s="398"/>
      <c r="BF24" s="398"/>
      <c r="BG24" s="397">
        <v>398</v>
      </c>
      <c r="BH24" s="399"/>
      <c r="BI24" s="399"/>
      <c r="BJ24" s="399"/>
      <c r="BK24" s="10"/>
      <c r="BL24" s="10"/>
    </row>
    <row r="25" spans="2:6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2:64">
      <c r="C26" s="400" t="s">
        <v>8</v>
      </c>
      <c r="D26" s="400"/>
      <c r="E26" s="292" t="s">
        <v>10</v>
      </c>
      <c r="F26" s="377">
        <v>-1</v>
      </c>
      <c r="G26" s="377"/>
      <c r="H26" s="2" t="s">
        <v>453</v>
      </c>
    </row>
    <row r="27" spans="2:64">
      <c r="F27" s="378">
        <v>-2</v>
      </c>
      <c r="G27" s="378"/>
      <c r="H27" s="2" t="s">
        <v>454</v>
      </c>
    </row>
    <row r="28" spans="2:64">
      <c r="B28" s="404" t="s">
        <v>107</v>
      </c>
      <c r="C28" s="404"/>
      <c r="D28" s="404"/>
      <c r="E28" s="7" t="s">
        <v>108</v>
      </c>
      <c r="F28" s="2" t="s">
        <v>109</v>
      </c>
    </row>
    <row r="29" spans="2:64">
      <c r="B29" s="9"/>
      <c r="C29" s="9"/>
      <c r="D29" s="9"/>
      <c r="E29" s="7"/>
      <c r="F29" s="2"/>
    </row>
    <row r="31" spans="2:64" ht="12.95" customHeight="1">
      <c r="B31" s="380" t="s">
        <v>110</v>
      </c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0"/>
      <c r="AN31" s="380"/>
      <c r="AO31" s="380"/>
      <c r="AP31" s="380"/>
      <c r="AQ31" s="380"/>
      <c r="AR31" s="380"/>
      <c r="AS31" s="380"/>
      <c r="AT31" s="380"/>
      <c r="AU31" s="380"/>
      <c r="AV31" s="380"/>
      <c r="AW31" s="380"/>
      <c r="AX31" s="380"/>
      <c r="AY31" s="380"/>
      <c r="AZ31" s="380"/>
      <c r="BA31" s="380"/>
      <c r="BB31" s="380"/>
      <c r="BC31" s="380"/>
      <c r="BD31" s="380"/>
      <c r="BE31" s="380"/>
      <c r="BF31" s="380"/>
      <c r="BG31" s="380"/>
      <c r="BH31" s="380"/>
      <c r="BI31" s="380"/>
      <c r="BJ31" s="380"/>
    </row>
    <row r="32" spans="2:64" ht="12.95" customHeight="1">
      <c r="BJ32" s="3"/>
    </row>
    <row r="33" spans="2:62" ht="13.5" customHeight="1">
      <c r="B33" s="381" t="s">
        <v>96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 t="s">
        <v>111</v>
      </c>
      <c r="P33" s="382"/>
      <c r="Q33" s="382"/>
      <c r="R33" s="382"/>
      <c r="S33" s="382"/>
      <c r="T33" s="382"/>
      <c r="U33" s="382"/>
      <c r="V33" s="382"/>
      <c r="W33" s="382"/>
      <c r="X33" s="382"/>
      <c r="Y33" s="382" t="s">
        <v>99</v>
      </c>
      <c r="Z33" s="382"/>
      <c r="AA33" s="382"/>
      <c r="AB33" s="382"/>
      <c r="AC33" s="382"/>
      <c r="AD33" s="382"/>
      <c r="AE33" s="382"/>
      <c r="AF33" s="382"/>
      <c r="AG33" s="382"/>
      <c r="AH33" s="382"/>
      <c r="AI33" s="382" t="s">
        <v>100</v>
      </c>
      <c r="AJ33" s="382"/>
      <c r="AK33" s="382"/>
      <c r="AL33" s="382"/>
      <c r="AM33" s="382"/>
      <c r="AN33" s="382"/>
      <c r="AO33" s="382"/>
      <c r="AP33" s="382"/>
      <c r="AQ33" s="382"/>
      <c r="AR33" s="382"/>
      <c r="AS33" s="382" t="s">
        <v>101</v>
      </c>
      <c r="AT33" s="382"/>
      <c r="AU33" s="382"/>
      <c r="AV33" s="382"/>
      <c r="AW33" s="382"/>
      <c r="AX33" s="382"/>
      <c r="AY33" s="382"/>
      <c r="AZ33" s="382"/>
      <c r="BA33" s="382"/>
      <c r="BB33" s="382" t="s">
        <v>102</v>
      </c>
      <c r="BC33" s="382"/>
      <c r="BD33" s="382"/>
      <c r="BE33" s="382"/>
      <c r="BF33" s="382"/>
      <c r="BG33" s="382"/>
      <c r="BH33" s="382"/>
      <c r="BI33" s="382"/>
      <c r="BJ33" s="406"/>
    </row>
    <row r="34" spans="2:62">
      <c r="B34" s="383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4"/>
      <c r="BE34" s="384"/>
      <c r="BF34" s="384"/>
      <c r="BG34" s="384"/>
      <c r="BH34" s="384"/>
      <c r="BI34" s="384"/>
      <c r="BJ34" s="407"/>
    </row>
    <row r="35" spans="2:62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0"/>
      <c r="O35" s="31"/>
      <c r="P35" s="31"/>
      <c r="Q35" s="31"/>
      <c r="R35" s="31"/>
      <c r="S35" s="31"/>
      <c r="T35" s="31"/>
      <c r="U35" s="31"/>
      <c r="V35" s="31"/>
      <c r="W35" s="416" t="s">
        <v>120</v>
      </c>
      <c r="X35" s="416"/>
      <c r="Y35" s="31"/>
      <c r="Z35" s="31"/>
      <c r="AA35" s="31"/>
      <c r="AB35" s="31"/>
      <c r="AC35" s="31"/>
      <c r="AD35" s="31"/>
      <c r="AE35" s="31"/>
      <c r="AF35" s="31"/>
      <c r="AG35" s="416" t="s">
        <v>120</v>
      </c>
      <c r="AH35" s="416"/>
      <c r="AI35" s="31"/>
      <c r="AJ35" s="31"/>
      <c r="AK35" s="31"/>
      <c r="AL35" s="31"/>
      <c r="AM35" s="31"/>
      <c r="AN35" s="31"/>
      <c r="AO35" s="31"/>
      <c r="AP35" s="31"/>
      <c r="AQ35" s="416" t="s">
        <v>120</v>
      </c>
      <c r="AR35" s="416"/>
      <c r="AS35" s="31"/>
      <c r="AT35" s="31"/>
      <c r="AU35" s="31"/>
      <c r="AV35" s="31"/>
      <c r="AW35" s="31"/>
      <c r="AX35" s="31"/>
      <c r="AY35" s="31"/>
      <c r="AZ35" s="416" t="s">
        <v>120</v>
      </c>
      <c r="BA35" s="416"/>
      <c r="BB35" s="31"/>
      <c r="BC35" s="31"/>
      <c r="BD35" s="31"/>
      <c r="BE35" s="31"/>
      <c r="BF35" s="31"/>
      <c r="BG35" s="31"/>
      <c r="BH35" s="31"/>
      <c r="BI35" s="416" t="s">
        <v>120</v>
      </c>
      <c r="BJ35" s="416"/>
    </row>
    <row r="36" spans="2:62" ht="7.5" customHeight="1">
      <c r="N36" s="22"/>
    </row>
    <row r="37" spans="2:62">
      <c r="C37" s="389" t="s">
        <v>97</v>
      </c>
      <c r="D37" s="389"/>
      <c r="E37" s="389"/>
      <c r="F37" s="389"/>
      <c r="G37" s="380">
        <v>20</v>
      </c>
      <c r="H37" s="380"/>
      <c r="I37" s="380"/>
      <c r="J37" s="389" t="s">
        <v>96</v>
      </c>
      <c r="K37" s="389"/>
      <c r="L37" s="389"/>
      <c r="M37" s="389"/>
      <c r="N37" s="22"/>
      <c r="O37" s="409">
        <v>22129397</v>
      </c>
      <c r="P37" s="391"/>
      <c r="Q37" s="391"/>
      <c r="R37" s="391"/>
      <c r="S37" s="391"/>
      <c r="T37" s="391"/>
      <c r="U37" s="391"/>
      <c r="V37" s="391"/>
      <c r="W37" s="391"/>
      <c r="X37" s="391"/>
      <c r="Y37" s="391">
        <v>7591288</v>
      </c>
      <c r="Z37" s="391"/>
      <c r="AA37" s="391"/>
      <c r="AB37" s="391"/>
      <c r="AC37" s="391"/>
      <c r="AD37" s="391"/>
      <c r="AE37" s="391"/>
      <c r="AF37" s="391"/>
      <c r="AG37" s="391"/>
      <c r="AH37" s="391"/>
      <c r="AI37" s="391">
        <v>4727541</v>
      </c>
      <c r="AJ37" s="391"/>
      <c r="AK37" s="391"/>
      <c r="AL37" s="391"/>
      <c r="AM37" s="391"/>
      <c r="AN37" s="391"/>
      <c r="AO37" s="391"/>
      <c r="AP37" s="391"/>
      <c r="AQ37" s="391"/>
      <c r="AR37" s="391"/>
      <c r="AS37" s="391">
        <v>114337</v>
      </c>
      <c r="AT37" s="391"/>
      <c r="AU37" s="391"/>
      <c r="AV37" s="391"/>
      <c r="AW37" s="391"/>
      <c r="AX37" s="391"/>
      <c r="AY37" s="391"/>
      <c r="AZ37" s="391"/>
      <c r="BA37" s="391"/>
      <c r="BB37" s="391">
        <v>371351</v>
      </c>
      <c r="BC37" s="391"/>
      <c r="BD37" s="391"/>
      <c r="BE37" s="391"/>
      <c r="BF37" s="391"/>
      <c r="BG37" s="391"/>
      <c r="BH37" s="391"/>
      <c r="BI37" s="391"/>
      <c r="BJ37" s="391"/>
    </row>
    <row r="38" spans="2:62">
      <c r="G38" s="380">
        <v>21</v>
      </c>
      <c r="H38" s="380"/>
      <c r="I38" s="380"/>
      <c r="N38" s="22"/>
      <c r="O38" s="409">
        <v>24738013</v>
      </c>
      <c r="P38" s="391"/>
      <c r="Q38" s="391"/>
      <c r="R38" s="391"/>
      <c r="S38" s="391"/>
      <c r="T38" s="391"/>
      <c r="U38" s="391"/>
      <c r="V38" s="391"/>
      <c r="W38" s="391"/>
      <c r="X38" s="391"/>
      <c r="Y38" s="391">
        <v>8469082</v>
      </c>
      <c r="Z38" s="391"/>
      <c r="AA38" s="391"/>
      <c r="AB38" s="391"/>
      <c r="AC38" s="391"/>
      <c r="AD38" s="391"/>
      <c r="AE38" s="391"/>
      <c r="AF38" s="391"/>
      <c r="AG38" s="391"/>
      <c r="AH38" s="391"/>
      <c r="AI38" s="391">
        <v>5363897</v>
      </c>
      <c r="AJ38" s="391"/>
      <c r="AK38" s="391"/>
      <c r="AL38" s="391"/>
      <c r="AM38" s="391"/>
      <c r="AN38" s="391"/>
      <c r="AO38" s="391"/>
      <c r="AP38" s="391"/>
      <c r="AQ38" s="391"/>
      <c r="AR38" s="391"/>
      <c r="AS38" s="391">
        <v>157240</v>
      </c>
      <c r="AT38" s="391"/>
      <c r="AU38" s="391"/>
      <c r="AV38" s="391"/>
      <c r="AW38" s="391"/>
      <c r="AX38" s="391"/>
      <c r="AY38" s="391"/>
      <c r="AZ38" s="391"/>
      <c r="BA38" s="391"/>
      <c r="BB38" s="391">
        <v>411730</v>
      </c>
      <c r="BC38" s="391"/>
      <c r="BD38" s="391"/>
      <c r="BE38" s="391"/>
      <c r="BF38" s="391"/>
      <c r="BG38" s="391"/>
      <c r="BH38" s="391"/>
      <c r="BI38" s="391"/>
      <c r="BJ38" s="391"/>
    </row>
    <row r="39" spans="2:62">
      <c r="G39" s="380">
        <v>22</v>
      </c>
      <c r="H39" s="380"/>
      <c r="I39" s="380"/>
      <c r="N39" s="22"/>
      <c r="O39" s="409">
        <v>27579286</v>
      </c>
      <c r="P39" s="391"/>
      <c r="Q39" s="391"/>
      <c r="R39" s="391"/>
      <c r="S39" s="391"/>
      <c r="T39" s="391"/>
      <c r="U39" s="391"/>
      <c r="V39" s="391"/>
      <c r="W39" s="391"/>
      <c r="X39" s="391"/>
      <c r="Y39" s="391">
        <v>9642072</v>
      </c>
      <c r="Z39" s="391"/>
      <c r="AA39" s="391"/>
      <c r="AB39" s="391"/>
      <c r="AC39" s="391"/>
      <c r="AD39" s="391"/>
      <c r="AE39" s="391"/>
      <c r="AF39" s="391"/>
      <c r="AG39" s="391"/>
      <c r="AH39" s="391"/>
      <c r="AI39" s="391">
        <v>6053453</v>
      </c>
      <c r="AJ39" s="391"/>
      <c r="AK39" s="391"/>
      <c r="AL39" s="391"/>
      <c r="AM39" s="391"/>
      <c r="AN39" s="391"/>
      <c r="AO39" s="391"/>
      <c r="AP39" s="391"/>
      <c r="AQ39" s="391"/>
      <c r="AR39" s="391"/>
      <c r="AS39" s="391">
        <v>176888</v>
      </c>
      <c r="AT39" s="391"/>
      <c r="AU39" s="391"/>
      <c r="AV39" s="391"/>
      <c r="AW39" s="391"/>
      <c r="AX39" s="391"/>
      <c r="AY39" s="391"/>
      <c r="AZ39" s="391"/>
      <c r="BA39" s="391"/>
      <c r="BB39" s="391">
        <v>474092</v>
      </c>
      <c r="BC39" s="391"/>
      <c r="BD39" s="391"/>
      <c r="BE39" s="391"/>
      <c r="BF39" s="391"/>
      <c r="BG39" s="391"/>
      <c r="BH39" s="391"/>
      <c r="BI39" s="391"/>
      <c r="BJ39" s="391"/>
    </row>
    <row r="40" spans="2:62">
      <c r="G40" s="380">
        <v>23</v>
      </c>
      <c r="H40" s="380"/>
      <c r="I40" s="380"/>
      <c r="N40" s="22"/>
      <c r="O40" s="409">
        <v>29310310</v>
      </c>
      <c r="P40" s="391"/>
      <c r="Q40" s="391"/>
      <c r="R40" s="391"/>
      <c r="S40" s="391"/>
      <c r="T40" s="391"/>
      <c r="U40" s="391"/>
      <c r="V40" s="391"/>
      <c r="W40" s="391"/>
      <c r="X40" s="391"/>
      <c r="Y40" s="391">
        <v>10189347</v>
      </c>
      <c r="Z40" s="391"/>
      <c r="AA40" s="391"/>
      <c r="AB40" s="391"/>
      <c r="AC40" s="391"/>
      <c r="AD40" s="391"/>
      <c r="AE40" s="391"/>
      <c r="AF40" s="391"/>
      <c r="AG40" s="391"/>
      <c r="AH40" s="391"/>
      <c r="AI40" s="391">
        <v>6526504</v>
      </c>
      <c r="AJ40" s="391"/>
      <c r="AK40" s="391"/>
      <c r="AL40" s="391"/>
      <c r="AM40" s="391"/>
      <c r="AN40" s="391"/>
      <c r="AO40" s="391"/>
      <c r="AP40" s="391"/>
      <c r="AQ40" s="391"/>
      <c r="AR40" s="391"/>
      <c r="AS40" s="391">
        <v>182348</v>
      </c>
      <c r="AT40" s="391"/>
      <c r="AU40" s="391"/>
      <c r="AV40" s="391"/>
      <c r="AW40" s="391"/>
      <c r="AX40" s="391"/>
      <c r="AY40" s="391"/>
      <c r="AZ40" s="391"/>
      <c r="BA40" s="391"/>
      <c r="BB40" s="391">
        <v>489192</v>
      </c>
      <c r="BC40" s="391"/>
      <c r="BD40" s="391"/>
      <c r="BE40" s="391"/>
      <c r="BF40" s="391"/>
      <c r="BG40" s="391"/>
      <c r="BH40" s="391"/>
      <c r="BI40" s="391"/>
      <c r="BJ40" s="391"/>
    </row>
    <row r="41" spans="2:62">
      <c r="G41" s="392">
        <v>24</v>
      </c>
      <c r="H41" s="392"/>
      <c r="I41" s="392"/>
      <c r="N41" s="6"/>
      <c r="O41" s="408">
        <v>30853288</v>
      </c>
      <c r="P41" s="399"/>
      <c r="Q41" s="399"/>
      <c r="R41" s="399"/>
      <c r="S41" s="399"/>
      <c r="T41" s="399"/>
      <c r="U41" s="399"/>
      <c r="V41" s="399"/>
      <c r="W41" s="399"/>
      <c r="X41" s="399"/>
      <c r="Y41" s="399">
        <v>10757992</v>
      </c>
      <c r="Z41" s="399"/>
      <c r="AA41" s="399"/>
      <c r="AB41" s="399"/>
      <c r="AC41" s="399"/>
      <c r="AD41" s="399"/>
      <c r="AE41" s="399"/>
      <c r="AF41" s="399"/>
      <c r="AG41" s="399"/>
      <c r="AH41" s="399"/>
      <c r="AI41" s="399">
        <v>6893612</v>
      </c>
      <c r="AJ41" s="399"/>
      <c r="AK41" s="399"/>
      <c r="AL41" s="399"/>
      <c r="AM41" s="399"/>
      <c r="AN41" s="399"/>
      <c r="AO41" s="399"/>
      <c r="AP41" s="399"/>
      <c r="AQ41" s="399"/>
      <c r="AR41" s="399"/>
      <c r="AS41" s="399">
        <v>184436</v>
      </c>
      <c r="AT41" s="399"/>
      <c r="AU41" s="399"/>
      <c r="AV41" s="399"/>
      <c r="AW41" s="399"/>
      <c r="AX41" s="399"/>
      <c r="AY41" s="399"/>
      <c r="AZ41" s="399"/>
      <c r="BA41" s="399"/>
      <c r="BB41" s="399">
        <v>549310</v>
      </c>
      <c r="BC41" s="399"/>
      <c r="BD41" s="399"/>
      <c r="BE41" s="399"/>
      <c r="BF41" s="399"/>
      <c r="BG41" s="399"/>
      <c r="BH41" s="399"/>
      <c r="BI41" s="399"/>
      <c r="BJ41" s="399"/>
    </row>
    <row r="42" spans="2:6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2:62">
      <c r="B43" s="381" t="s">
        <v>96</v>
      </c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 t="s">
        <v>103</v>
      </c>
      <c r="P43" s="382"/>
      <c r="Q43" s="382"/>
      <c r="R43" s="382"/>
      <c r="S43" s="382"/>
      <c r="T43" s="382"/>
      <c r="U43" s="382"/>
      <c r="V43" s="382"/>
      <c r="W43" s="382"/>
      <c r="X43" s="382"/>
      <c r="Y43" s="382" t="s">
        <v>104</v>
      </c>
      <c r="Z43" s="382"/>
      <c r="AA43" s="382"/>
      <c r="AB43" s="382"/>
      <c r="AC43" s="382"/>
      <c r="AD43" s="382"/>
      <c r="AE43" s="382"/>
      <c r="AF43" s="382"/>
      <c r="AG43" s="382"/>
      <c r="AH43" s="382"/>
      <c r="AI43" s="382" t="s">
        <v>105</v>
      </c>
      <c r="AJ43" s="382"/>
      <c r="AK43" s="382"/>
      <c r="AL43" s="382"/>
      <c r="AM43" s="382"/>
      <c r="AN43" s="382"/>
      <c r="AO43" s="382"/>
      <c r="AP43" s="382"/>
      <c r="AQ43" s="382"/>
      <c r="AR43" s="382"/>
      <c r="AS43" s="382" t="s">
        <v>106</v>
      </c>
      <c r="AT43" s="382"/>
      <c r="AU43" s="382"/>
      <c r="AV43" s="382"/>
      <c r="AW43" s="382"/>
      <c r="AX43" s="382"/>
      <c r="AY43" s="382"/>
      <c r="AZ43" s="382"/>
      <c r="BA43" s="382"/>
      <c r="BB43" s="382" t="s">
        <v>112</v>
      </c>
      <c r="BC43" s="382"/>
      <c r="BD43" s="382"/>
      <c r="BE43" s="382"/>
      <c r="BF43" s="382"/>
      <c r="BG43" s="382"/>
      <c r="BH43" s="382"/>
      <c r="BI43" s="382"/>
      <c r="BJ43" s="406"/>
    </row>
    <row r="44" spans="2:62">
      <c r="B44" s="383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384"/>
      <c r="AZ44" s="384"/>
      <c r="BA44" s="384"/>
      <c r="BB44" s="384"/>
      <c r="BC44" s="384"/>
      <c r="BD44" s="384"/>
      <c r="BE44" s="384"/>
      <c r="BF44" s="384"/>
      <c r="BG44" s="384"/>
      <c r="BH44" s="384"/>
      <c r="BI44" s="384"/>
      <c r="BJ44" s="407"/>
    </row>
    <row r="45" spans="2:62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0"/>
      <c r="O45" s="31"/>
      <c r="P45" s="31"/>
      <c r="Q45" s="31"/>
      <c r="R45" s="31"/>
      <c r="S45" s="31"/>
      <c r="T45" s="31"/>
      <c r="U45" s="31"/>
      <c r="V45" s="31"/>
      <c r="W45" s="416" t="s">
        <v>120</v>
      </c>
      <c r="X45" s="416"/>
      <c r="Y45" s="31"/>
      <c r="Z45" s="31"/>
      <c r="AA45" s="31"/>
      <c r="AB45" s="31"/>
      <c r="AC45" s="31"/>
      <c r="AD45" s="31"/>
      <c r="AE45" s="31"/>
      <c r="AF45" s="31"/>
      <c r="AG45" s="416" t="s">
        <v>120</v>
      </c>
      <c r="AH45" s="416"/>
      <c r="AI45" s="31"/>
      <c r="AJ45" s="31"/>
      <c r="AK45" s="31"/>
      <c r="AL45" s="31"/>
      <c r="AM45" s="31"/>
      <c r="AN45" s="31"/>
      <c r="AO45" s="31"/>
      <c r="AP45" s="31"/>
      <c r="AQ45" s="416" t="s">
        <v>120</v>
      </c>
      <c r="AR45" s="416"/>
      <c r="AS45" s="31"/>
      <c r="AT45" s="31"/>
      <c r="AU45" s="31"/>
      <c r="AV45" s="31"/>
      <c r="AW45" s="31"/>
      <c r="AX45" s="31"/>
      <c r="AY45" s="31"/>
      <c r="AZ45" s="416" t="s">
        <v>120</v>
      </c>
      <c r="BA45" s="416"/>
      <c r="BB45" s="31"/>
      <c r="BC45" s="31"/>
      <c r="BD45" s="31"/>
      <c r="BE45" s="31"/>
      <c r="BF45" s="31"/>
      <c r="BG45" s="31"/>
      <c r="BH45" s="31"/>
      <c r="BI45" s="416" t="s">
        <v>120</v>
      </c>
      <c r="BJ45" s="416"/>
    </row>
    <row r="46" spans="2:62" ht="7.5" customHeight="1">
      <c r="N46" s="22"/>
    </row>
    <row r="47" spans="2:62">
      <c r="C47" s="389" t="s">
        <v>97</v>
      </c>
      <c r="D47" s="389"/>
      <c r="E47" s="389"/>
      <c r="F47" s="389"/>
      <c r="G47" s="380">
        <v>20</v>
      </c>
      <c r="H47" s="380"/>
      <c r="I47" s="380"/>
      <c r="J47" s="389" t="s">
        <v>96</v>
      </c>
      <c r="K47" s="389"/>
      <c r="L47" s="389"/>
      <c r="M47" s="389"/>
      <c r="N47" s="22"/>
      <c r="O47" s="391">
        <v>9062091</v>
      </c>
      <c r="P47" s="391"/>
      <c r="Q47" s="391"/>
      <c r="R47" s="391"/>
      <c r="S47" s="391"/>
      <c r="T47" s="391"/>
      <c r="U47" s="391"/>
      <c r="V47" s="391"/>
      <c r="W47" s="391"/>
      <c r="X47" s="391"/>
      <c r="Y47" s="391">
        <v>402</v>
      </c>
      <c r="Z47" s="391"/>
      <c r="AA47" s="391"/>
      <c r="AB47" s="391"/>
      <c r="AC47" s="391"/>
      <c r="AD47" s="391"/>
      <c r="AE47" s="391"/>
      <c r="AF47" s="391"/>
      <c r="AG47" s="391"/>
      <c r="AH47" s="391"/>
      <c r="AI47" s="391">
        <v>63139</v>
      </c>
      <c r="AJ47" s="391"/>
      <c r="AK47" s="391"/>
      <c r="AL47" s="391"/>
      <c r="AM47" s="391"/>
      <c r="AN47" s="391"/>
      <c r="AO47" s="391"/>
      <c r="AP47" s="391"/>
      <c r="AQ47" s="391"/>
      <c r="AR47" s="391"/>
      <c r="AS47" s="391">
        <v>56703</v>
      </c>
      <c r="AT47" s="391"/>
      <c r="AU47" s="391"/>
      <c r="AV47" s="391"/>
      <c r="AW47" s="391"/>
      <c r="AX47" s="391"/>
      <c r="AY47" s="391"/>
      <c r="AZ47" s="391"/>
      <c r="BA47" s="391"/>
      <c r="BB47" s="391">
        <v>142544</v>
      </c>
      <c r="BC47" s="391"/>
      <c r="BD47" s="391"/>
      <c r="BE47" s="391"/>
      <c r="BF47" s="391"/>
      <c r="BG47" s="391"/>
      <c r="BH47" s="391"/>
      <c r="BI47" s="391"/>
      <c r="BJ47" s="391"/>
    </row>
    <row r="48" spans="2:62">
      <c r="G48" s="380">
        <v>21</v>
      </c>
      <c r="H48" s="380"/>
      <c r="I48" s="380"/>
      <c r="N48" s="22"/>
      <c r="O48" s="391">
        <v>10049727</v>
      </c>
      <c r="P48" s="391"/>
      <c r="Q48" s="391"/>
      <c r="R48" s="391"/>
      <c r="S48" s="391"/>
      <c r="T48" s="391"/>
      <c r="U48" s="391"/>
      <c r="V48" s="391"/>
      <c r="W48" s="391"/>
      <c r="X48" s="391"/>
      <c r="Y48" s="391">
        <v>606</v>
      </c>
      <c r="Z48" s="391"/>
      <c r="AA48" s="391"/>
      <c r="AB48" s="391"/>
      <c r="AC48" s="391"/>
      <c r="AD48" s="391"/>
      <c r="AE48" s="391"/>
      <c r="AF48" s="391"/>
      <c r="AG48" s="391"/>
      <c r="AH48" s="391"/>
      <c r="AI48" s="391">
        <v>88532</v>
      </c>
      <c r="AJ48" s="391"/>
      <c r="AK48" s="391"/>
      <c r="AL48" s="391"/>
      <c r="AM48" s="391"/>
      <c r="AN48" s="391"/>
      <c r="AO48" s="391"/>
      <c r="AP48" s="391"/>
      <c r="AQ48" s="391"/>
      <c r="AR48" s="391"/>
      <c r="AS48" s="391">
        <v>54996</v>
      </c>
      <c r="AT48" s="391"/>
      <c r="AU48" s="391"/>
      <c r="AV48" s="391"/>
      <c r="AW48" s="391"/>
      <c r="AX48" s="391"/>
      <c r="AY48" s="391"/>
      <c r="AZ48" s="391"/>
      <c r="BA48" s="391"/>
      <c r="BB48" s="391">
        <v>142203</v>
      </c>
      <c r="BC48" s="391"/>
      <c r="BD48" s="391"/>
      <c r="BE48" s="391"/>
      <c r="BF48" s="391"/>
      <c r="BG48" s="391"/>
      <c r="BH48" s="391"/>
      <c r="BI48" s="391"/>
      <c r="BJ48" s="391"/>
    </row>
    <row r="49" spans="2:62">
      <c r="G49" s="380">
        <v>22</v>
      </c>
      <c r="H49" s="380"/>
      <c r="I49" s="380"/>
      <c r="N49" s="22"/>
      <c r="O49" s="391">
        <v>10903279</v>
      </c>
      <c r="P49" s="391"/>
      <c r="Q49" s="391"/>
      <c r="R49" s="391"/>
      <c r="S49" s="391"/>
      <c r="T49" s="391"/>
      <c r="U49" s="391"/>
      <c r="V49" s="391"/>
      <c r="W49" s="391"/>
      <c r="X49" s="391"/>
      <c r="Y49" s="391">
        <v>991</v>
      </c>
      <c r="Z49" s="391"/>
      <c r="AA49" s="391"/>
      <c r="AB49" s="391"/>
      <c r="AC49" s="391"/>
      <c r="AD49" s="391"/>
      <c r="AE49" s="391"/>
      <c r="AF49" s="391"/>
      <c r="AG49" s="391"/>
      <c r="AH49" s="391"/>
      <c r="AI49" s="391">
        <v>102435</v>
      </c>
      <c r="AJ49" s="391"/>
      <c r="AK49" s="391"/>
      <c r="AL49" s="391"/>
      <c r="AM49" s="391"/>
      <c r="AN49" s="391"/>
      <c r="AO49" s="391"/>
      <c r="AP49" s="391"/>
      <c r="AQ49" s="391"/>
      <c r="AR49" s="391"/>
      <c r="AS49" s="391">
        <v>75651</v>
      </c>
      <c r="AT49" s="391"/>
      <c r="AU49" s="391"/>
      <c r="AV49" s="391"/>
      <c r="AW49" s="391"/>
      <c r="AX49" s="391"/>
      <c r="AY49" s="391"/>
      <c r="AZ49" s="391"/>
      <c r="BA49" s="391"/>
      <c r="BB49" s="391">
        <v>150424</v>
      </c>
      <c r="BC49" s="391"/>
      <c r="BD49" s="391"/>
      <c r="BE49" s="391"/>
      <c r="BF49" s="391"/>
      <c r="BG49" s="391"/>
      <c r="BH49" s="391"/>
      <c r="BI49" s="391"/>
      <c r="BJ49" s="391"/>
    </row>
    <row r="50" spans="2:62">
      <c r="G50" s="380">
        <v>23</v>
      </c>
      <c r="H50" s="380"/>
      <c r="I50" s="380"/>
      <c r="N50" s="22"/>
      <c r="O50" s="391">
        <v>11588498</v>
      </c>
      <c r="P50" s="391"/>
      <c r="Q50" s="391"/>
      <c r="R50" s="391"/>
      <c r="S50" s="391"/>
      <c r="T50" s="391"/>
      <c r="U50" s="391"/>
      <c r="V50" s="391"/>
      <c r="W50" s="391"/>
      <c r="X50" s="391"/>
      <c r="Y50" s="391">
        <v>682</v>
      </c>
      <c r="Z50" s="391"/>
      <c r="AA50" s="391"/>
      <c r="AB50" s="391"/>
      <c r="AC50" s="391"/>
      <c r="AD50" s="391"/>
      <c r="AE50" s="391"/>
      <c r="AF50" s="391"/>
      <c r="AG50" s="391"/>
      <c r="AH50" s="391"/>
      <c r="AI50" s="391">
        <v>105300</v>
      </c>
      <c r="AJ50" s="391"/>
      <c r="AK50" s="391"/>
      <c r="AL50" s="391"/>
      <c r="AM50" s="391"/>
      <c r="AN50" s="391"/>
      <c r="AO50" s="391"/>
      <c r="AP50" s="391"/>
      <c r="AQ50" s="391"/>
      <c r="AR50" s="391"/>
      <c r="AS50" s="391">
        <v>69312</v>
      </c>
      <c r="AT50" s="391"/>
      <c r="AU50" s="391"/>
      <c r="AV50" s="391"/>
      <c r="AW50" s="391"/>
      <c r="AX50" s="391"/>
      <c r="AY50" s="391"/>
      <c r="AZ50" s="391"/>
      <c r="BA50" s="391"/>
      <c r="BB50" s="391">
        <v>159127</v>
      </c>
      <c r="BC50" s="391"/>
      <c r="BD50" s="391"/>
      <c r="BE50" s="391"/>
      <c r="BF50" s="391"/>
      <c r="BG50" s="391"/>
      <c r="BH50" s="391"/>
      <c r="BI50" s="391"/>
      <c r="BJ50" s="391"/>
    </row>
    <row r="51" spans="2:62">
      <c r="G51" s="392">
        <v>24</v>
      </c>
      <c r="H51" s="392"/>
      <c r="I51" s="392"/>
      <c r="N51" s="6"/>
      <c r="O51" s="408">
        <v>12111325</v>
      </c>
      <c r="P51" s="399"/>
      <c r="Q51" s="399"/>
      <c r="R51" s="399"/>
      <c r="S51" s="399"/>
      <c r="T51" s="399"/>
      <c r="U51" s="399"/>
      <c r="V51" s="399"/>
      <c r="W51" s="399"/>
      <c r="X51" s="399"/>
      <c r="Y51" s="399">
        <v>223</v>
      </c>
      <c r="Z51" s="399"/>
      <c r="AA51" s="399"/>
      <c r="AB51" s="399"/>
      <c r="AC51" s="399"/>
      <c r="AD51" s="399"/>
      <c r="AE51" s="399"/>
      <c r="AF51" s="399"/>
      <c r="AG51" s="399"/>
      <c r="AH51" s="399"/>
      <c r="AI51" s="399">
        <v>107973</v>
      </c>
      <c r="AJ51" s="399"/>
      <c r="AK51" s="399"/>
      <c r="AL51" s="399"/>
      <c r="AM51" s="399"/>
      <c r="AN51" s="399"/>
      <c r="AO51" s="399"/>
      <c r="AP51" s="399"/>
      <c r="AQ51" s="399"/>
      <c r="AR51" s="399"/>
      <c r="AS51" s="399">
        <v>72916</v>
      </c>
      <c r="AT51" s="399"/>
      <c r="AU51" s="399"/>
      <c r="AV51" s="399"/>
      <c r="AW51" s="399"/>
      <c r="AX51" s="399"/>
      <c r="AY51" s="399"/>
      <c r="AZ51" s="399"/>
      <c r="BA51" s="399"/>
      <c r="BB51" s="399">
        <v>175501</v>
      </c>
      <c r="BC51" s="399"/>
      <c r="BD51" s="399"/>
      <c r="BE51" s="399"/>
      <c r="BF51" s="399"/>
      <c r="BG51" s="399"/>
      <c r="BH51" s="399"/>
      <c r="BI51" s="399"/>
      <c r="BJ51" s="399"/>
    </row>
    <row r="52" spans="2:6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2:62">
      <c r="B53" s="410" t="s">
        <v>107</v>
      </c>
      <c r="C53" s="410"/>
      <c r="D53" s="410"/>
      <c r="E53" s="7" t="s">
        <v>108</v>
      </c>
      <c r="F53" s="2" t="s">
        <v>109</v>
      </c>
    </row>
    <row r="54" spans="2:62">
      <c r="B54" s="12"/>
      <c r="C54" s="12"/>
      <c r="D54" s="12"/>
      <c r="E54" s="7"/>
      <c r="F54" s="2"/>
    </row>
    <row r="56" spans="2:62" ht="12.95" customHeight="1">
      <c r="B56" s="380" t="s">
        <v>113</v>
      </c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80"/>
      <c r="AH56" s="380"/>
      <c r="AI56" s="380"/>
      <c r="AJ56" s="380"/>
      <c r="AK56" s="380"/>
      <c r="AL56" s="380"/>
      <c r="AM56" s="380"/>
      <c r="AN56" s="380"/>
      <c r="AO56" s="380"/>
      <c r="AP56" s="380"/>
      <c r="AQ56" s="380"/>
      <c r="AR56" s="380"/>
      <c r="AS56" s="380"/>
      <c r="AT56" s="380"/>
      <c r="AU56" s="380"/>
      <c r="AV56" s="380"/>
      <c r="AW56" s="380"/>
      <c r="AX56" s="380"/>
      <c r="AY56" s="380"/>
      <c r="AZ56" s="380"/>
      <c r="BA56" s="380"/>
      <c r="BB56" s="380"/>
      <c r="BC56" s="380"/>
      <c r="BD56" s="380"/>
      <c r="BE56" s="380"/>
      <c r="BF56" s="380"/>
      <c r="BG56" s="380"/>
      <c r="BH56" s="380"/>
      <c r="BI56" s="380"/>
      <c r="BJ56" s="380"/>
    </row>
    <row r="57" spans="2:62" ht="12.95" customHeight="1"/>
    <row r="58" spans="2:62" ht="15" customHeight="1">
      <c r="B58" s="411" t="s">
        <v>96</v>
      </c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413" t="s">
        <v>114</v>
      </c>
      <c r="O58" s="386"/>
      <c r="P58" s="386"/>
      <c r="Q58" s="386"/>
      <c r="R58" s="386"/>
      <c r="S58" s="386"/>
      <c r="T58" s="386"/>
      <c r="U58" s="413" t="s">
        <v>115</v>
      </c>
      <c r="V58" s="386"/>
      <c r="W58" s="386"/>
      <c r="X58" s="386"/>
      <c r="Y58" s="386"/>
      <c r="Z58" s="386"/>
      <c r="AA58" s="386"/>
      <c r="AB58" s="386" t="s">
        <v>116</v>
      </c>
      <c r="AC58" s="386"/>
      <c r="AD58" s="386"/>
      <c r="AE58" s="386"/>
      <c r="AF58" s="386"/>
      <c r="AG58" s="386"/>
      <c r="AH58" s="386"/>
      <c r="AI58" s="386" t="s">
        <v>117</v>
      </c>
      <c r="AJ58" s="386"/>
      <c r="AK58" s="386"/>
      <c r="AL58" s="386"/>
      <c r="AM58" s="386"/>
      <c r="AN58" s="386"/>
      <c r="AO58" s="386"/>
      <c r="AP58" s="386"/>
      <c r="AQ58" s="386"/>
      <c r="AR58" s="386"/>
      <c r="AS58" s="386"/>
      <c r="AT58" s="386"/>
      <c r="AU58" s="386"/>
      <c r="AV58" s="386"/>
      <c r="AW58" s="386" t="s">
        <v>118</v>
      </c>
      <c r="AX58" s="386"/>
      <c r="AY58" s="386"/>
      <c r="AZ58" s="386"/>
      <c r="BA58" s="386"/>
      <c r="BB58" s="386"/>
      <c r="BC58" s="386"/>
      <c r="BD58" s="386"/>
      <c r="BE58" s="386"/>
      <c r="BF58" s="386"/>
      <c r="BG58" s="386"/>
      <c r="BH58" s="386"/>
      <c r="BI58" s="386"/>
      <c r="BJ58" s="387"/>
    </row>
    <row r="59" spans="2:62" ht="15" customHeight="1">
      <c r="B59" s="412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 t="s">
        <v>119</v>
      </c>
      <c r="AJ59" s="385"/>
      <c r="AK59" s="385"/>
      <c r="AL59" s="385"/>
      <c r="AM59" s="385"/>
      <c r="AN59" s="385"/>
      <c r="AO59" s="385"/>
      <c r="AP59" s="385" t="s">
        <v>95</v>
      </c>
      <c r="AQ59" s="385"/>
      <c r="AR59" s="385"/>
      <c r="AS59" s="385"/>
      <c r="AT59" s="385"/>
      <c r="AU59" s="385"/>
      <c r="AV59" s="385"/>
      <c r="AW59" s="385" t="s">
        <v>119</v>
      </c>
      <c r="AX59" s="385"/>
      <c r="AY59" s="385"/>
      <c r="AZ59" s="385"/>
      <c r="BA59" s="385"/>
      <c r="BB59" s="385"/>
      <c r="BC59" s="385"/>
      <c r="BD59" s="385" t="s">
        <v>95</v>
      </c>
      <c r="BE59" s="385"/>
      <c r="BF59" s="385"/>
      <c r="BG59" s="385"/>
      <c r="BH59" s="385"/>
      <c r="BI59" s="385"/>
      <c r="BJ59" s="388"/>
    </row>
    <row r="60" spans="2:62">
      <c r="M60" s="21"/>
    </row>
    <row r="61" spans="2:62">
      <c r="C61" s="389" t="s">
        <v>97</v>
      </c>
      <c r="D61" s="389"/>
      <c r="E61" s="389"/>
      <c r="F61" s="389"/>
      <c r="G61" s="380">
        <v>20</v>
      </c>
      <c r="H61" s="380"/>
      <c r="I61" s="389" t="s">
        <v>96</v>
      </c>
      <c r="J61" s="389"/>
      <c r="K61" s="389"/>
      <c r="L61" s="389"/>
      <c r="M61" s="22"/>
      <c r="N61" s="402">
        <v>1661</v>
      </c>
      <c r="O61" s="402"/>
      <c r="P61" s="402"/>
      <c r="Q61" s="402"/>
      <c r="R61" s="402"/>
      <c r="S61" s="402"/>
      <c r="T61" s="402"/>
      <c r="U61" s="402">
        <v>41</v>
      </c>
      <c r="V61" s="402"/>
      <c r="W61" s="402"/>
      <c r="X61" s="402"/>
      <c r="Y61" s="402"/>
      <c r="Z61" s="402"/>
      <c r="AA61" s="402"/>
      <c r="AB61" s="402">
        <v>30</v>
      </c>
      <c r="AC61" s="402"/>
      <c r="AD61" s="402"/>
      <c r="AE61" s="402"/>
      <c r="AF61" s="402"/>
      <c r="AG61" s="402"/>
      <c r="AH61" s="402"/>
      <c r="AI61" s="402">
        <v>1604</v>
      </c>
      <c r="AJ61" s="402"/>
      <c r="AK61" s="402"/>
      <c r="AL61" s="402"/>
      <c r="AM61" s="402"/>
      <c r="AN61" s="402"/>
      <c r="AO61" s="402"/>
      <c r="AP61" s="402">
        <v>2227</v>
      </c>
      <c r="AQ61" s="402"/>
      <c r="AR61" s="402"/>
      <c r="AS61" s="402"/>
      <c r="AT61" s="402"/>
      <c r="AU61" s="402"/>
      <c r="AV61" s="402"/>
      <c r="AW61" s="402">
        <v>1124</v>
      </c>
      <c r="AX61" s="402"/>
      <c r="AY61" s="402"/>
      <c r="AZ61" s="402"/>
      <c r="BA61" s="402"/>
      <c r="BB61" s="402"/>
      <c r="BC61" s="402"/>
      <c r="BD61" s="402">
        <v>1467</v>
      </c>
      <c r="BE61" s="402"/>
      <c r="BF61" s="402"/>
      <c r="BG61" s="402"/>
      <c r="BH61" s="402"/>
      <c r="BI61" s="402"/>
      <c r="BJ61" s="402"/>
    </row>
    <row r="62" spans="2:62">
      <c r="G62" s="380">
        <v>21</v>
      </c>
      <c r="H62" s="380"/>
      <c r="M62" s="22"/>
      <c r="N62" s="402">
        <v>2240</v>
      </c>
      <c r="O62" s="402"/>
      <c r="P62" s="402"/>
      <c r="Q62" s="402"/>
      <c r="R62" s="402"/>
      <c r="S62" s="402"/>
      <c r="T62" s="402"/>
      <c r="U62" s="402">
        <v>58</v>
      </c>
      <c r="V62" s="402"/>
      <c r="W62" s="402"/>
      <c r="X62" s="402"/>
      <c r="Y62" s="402"/>
      <c r="Z62" s="402"/>
      <c r="AA62" s="402"/>
      <c r="AB62" s="402">
        <v>18</v>
      </c>
      <c r="AC62" s="402"/>
      <c r="AD62" s="402"/>
      <c r="AE62" s="402"/>
      <c r="AF62" s="402"/>
      <c r="AG62" s="402"/>
      <c r="AH62" s="402"/>
      <c r="AI62" s="402">
        <v>2192</v>
      </c>
      <c r="AJ62" s="402"/>
      <c r="AK62" s="402"/>
      <c r="AL62" s="402"/>
      <c r="AM62" s="402"/>
      <c r="AN62" s="402"/>
      <c r="AO62" s="402"/>
      <c r="AP62" s="402">
        <v>3115</v>
      </c>
      <c r="AQ62" s="402"/>
      <c r="AR62" s="402"/>
      <c r="AS62" s="402"/>
      <c r="AT62" s="402"/>
      <c r="AU62" s="402"/>
      <c r="AV62" s="402"/>
      <c r="AW62" s="402">
        <v>1108</v>
      </c>
      <c r="AX62" s="402"/>
      <c r="AY62" s="402"/>
      <c r="AZ62" s="402"/>
      <c r="BA62" s="402"/>
      <c r="BB62" s="402"/>
      <c r="BC62" s="402"/>
      <c r="BD62" s="402">
        <v>1468</v>
      </c>
      <c r="BE62" s="402"/>
      <c r="BF62" s="402"/>
      <c r="BG62" s="402"/>
      <c r="BH62" s="402"/>
      <c r="BI62" s="402"/>
      <c r="BJ62" s="402"/>
    </row>
    <row r="63" spans="2:62">
      <c r="G63" s="380">
        <v>22</v>
      </c>
      <c r="H63" s="380"/>
      <c r="M63" s="22"/>
      <c r="N63" s="402">
        <v>2366</v>
      </c>
      <c r="O63" s="402"/>
      <c r="P63" s="402"/>
      <c r="Q63" s="402"/>
      <c r="R63" s="402"/>
      <c r="S63" s="402"/>
      <c r="T63" s="402"/>
      <c r="U63" s="402">
        <v>58</v>
      </c>
      <c r="V63" s="402"/>
      <c r="W63" s="402"/>
      <c r="X63" s="402"/>
      <c r="Y63" s="402"/>
      <c r="Z63" s="402"/>
      <c r="AA63" s="402"/>
      <c r="AB63" s="402">
        <v>46</v>
      </c>
      <c r="AC63" s="402"/>
      <c r="AD63" s="402"/>
      <c r="AE63" s="402"/>
      <c r="AF63" s="402"/>
      <c r="AG63" s="402"/>
      <c r="AH63" s="402"/>
      <c r="AI63" s="402">
        <v>2244</v>
      </c>
      <c r="AJ63" s="402"/>
      <c r="AK63" s="402"/>
      <c r="AL63" s="402"/>
      <c r="AM63" s="402"/>
      <c r="AN63" s="402"/>
      <c r="AO63" s="402"/>
      <c r="AP63" s="402">
        <v>3206</v>
      </c>
      <c r="AQ63" s="402"/>
      <c r="AR63" s="402"/>
      <c r="AS63" s="402"/>
      <c r="AT63" s="402"/>
      <c r="AU63" s="402"/>
      <c r="AV63" s="402"/>
      <c r="AW63" s="402">
        <v>1329</v>
      </c>
      <c r="AX63" s="402"/>
      <c r="AY63" s="402"/>
      <c r="AZ63" s="402"/>
      <c r="BA63" s="402"/>
      <c r="BB63" s="402"/>
      <c r="BC63" s="402"/>
      <c r="BD63" s="402">
        <v>1672</v>
      </c>
      <c r="BE63" s="402"/>
      <c r="BF63" s="402"/>
      <c r="BG63" s="402"/>
      <c r="BH63" s="402"/>
      <c r="BI63" s="402"/>
      <c r="BJ63" s="402"/>
    </row>
    <row r="64" spans="2:62">
      <c r="G64" s="380">
        <v>23</v>
      </c>
      <c r="H64" s="380"/>
      <c r="M64" s="22"/>
      <c r="N64" s="414">
        <v>2102</v>
      </c>
      <c r="O64" s="414"/>
      <c r="P64" s="414"/>
      <c r="Q64" s="414"/>
      <c r="R64" s="414"/>
      <c r="S64" s="414"/>
      <c r="T64" s="414"/>
      <c r="U64" s="414">
        <v>44</v>
      </c>
      <c r="V64" s="414"/>
      <c r="W64" s="414"/>
      <c r="X64" s="414"/>
      <c r="Y64" s="414"/>
      <c r="Z64" s="414"/>
      <c r="AA64" s="414"/>
      <c r="AB64" s="414">
        <v>31</v>
      </c>
      <c r="AC64" s="414"/>
      <c r="AD64" s="414"/>
      <c r="AE64" s="414"/>
      <c r="AF64" s="414"/>
      <c r="AG64" s="414"/>
      <c r="AH64" s="414"/>
      <c r="AI64" s="414">
        <v>2025</v>
      </c>
      <c r="AJ64" s="414"/>
      <c r="AK64" s="414"/>
      <c r="AL64" s="414"/>
      <c r="AM64" s="414"/>
      <c r="AN64" s="414"/>
      <c r="AO64" s="414"/>
      <c r="AP64" s="414">
        <v>2850</v>
      </c>
      <c r="AQ64" s="414"/>
      <c r="AR64" s="414"/>
      <c r="AS64" s="414"/>
      <c r="AT64" s="414"/>
      <c r="AU64" s="414"/>
      <c r="AV64" s="414"/>
      <c r="AW64" s="414">
        <v>1257</v>
      </c>
      <c r="AX64" s="414"/>
      <c r="AY64" s="414"/>
      <c r="AZ64" s="414"/>
      <c r="BA64" s="414"/>
      <c r="BB64" s="414"/>
      <c r="BC64" s="414"/>
      <c r="BD64" s="414">
        <v>1715</v>
      </c>
      <c r="BE64" s="414"/>
      <c r="BF64" s="414"/>
      <c r="BG64" s="414"/>
      <c r="BH64" s="414"/>
      <c r="BI64" s="414"/>
      <c r="BJ64" s="414"/>
    </row>
    <row r="65" spans="2:62">
      <c r="G65" s="392">
        <v>24</v>
      </c>
      <c r="H65" s="392"/>
      <c r="M65" s="6"/>
      <c r="N65" s="415">
        <v>2124</v>
      </c>
      <c r="O65" s="405"/>
      <c r="P65" s="405"/>
      <c r="Q65" s="405"/>
      <c r="R65" s="405"/>
      <c r="S65" s="405"/>
      <c r="T65" s="405"/>
      <c r="U65" s="405">
        <v>55</v>
      </c>
      <c r="V65" s="405"/>
      <c r="W65" s="405"/>
      <c r="X65" s="405"/>
      <c r="Y65" s="405"/>
      <c r="Z65" s="405"/>
      <c r="AA65" s="405"/>
      <c r="AB65" s="405">
        <v>56</v>
      </c>
      <c r="AC65" s="405"/>
      <c r="AD65" s="405"/>
      <c r="AE65" s="405"/>
      <c r="AF65" s="405"/>
      <c r="AG65" s="405"/>
      <c r="AH65" s="405"/>
      <c r="AI65" s="405">
        <v>1910</v>
      </c>
      <c r="AJ65" s="405"/>
      <c r="AK65" s="405"/>
      <c r="AL65" s="405"/>
      <c r="AM65" s="405"/>
      <c r="AN65" s="405"/>
      <c r="AO65" s="405"/>
      <c r="AP65" s="405">
        <v>2763</v>
      </c>
      <c r="AQ65" s="405"/>
      <c r="AR65" s="405"/>
      <c r="AS65" s="405"/>
      <c r="AT65" s="405"/>
      <c r="AU65" s="405"/>
      <c r="AV65" s="405"/>
      <c r="AW65" s="405">
        <v>1392</v>
      </c>
      <c r="AX65" s="405"/>
      <c r="AY65" s="405"/>
      <c r="AZ65" s="405"/>
      <c r="BA65" s="405"/>
      <c r="BB65" s="405"/>
      <c r="BC65" s="405"/>
      <c r="BD65" s="405">
        <v>1838</v>
      </c>
      <c r="BE65" s="405"/>
      <c r="BF65" s="405"/>
      <c r="BG65" s="405"/>
      <c r="BH65" s="405"/>
      <c r="BI65" s="405"/>
      <c r="BJ65" s="405"/>
    </row>
    <row r="66" spans="2:6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2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</row>
    <row r="67" spans="2:62">
      <c r="B67" s="410" t="s">
        <v>107</v>
      </c>
      <c r="C67" s="410"/>
      <c r="D67" s="410"/>
      <c r="E67" s="7" t="s">
        <v>108</v>
      </c>
      <c r="F67" s="2" t="s">
        <v>109</v>
      </c>
    </row>
  </sheetData>
  <mergeCells count="282">
    <mergeCell ref="W35:X35"/>
    <mergeCell ref="AG35:AH35"/>
    <mergeCell ref="AQ35:AR35"/>
    <mergeCell ref="AZ35:BA35"/>
    <mergeCell ref="BI35:BJ35"/>
    <mergeCell ref="W45:X45"/>
    <mergeCell ref="AG45:AH45"/>
    <mergeCell ref="AQ45:AR45"/>
    <mergeCell ref="AZ45:BA45"/>
    <mergeCell ref="BI45:BJ45"/>
    <mergeCell ref="BB37:BJ37"/>
    <mergeCell ref="BB38:BJ38"/>
    <mergeCell ref="BB39:BJ39"/>
    <mergeCell ref="BB40:BJ40"/>
    <mergeCell ref="BB41:BJ41"/>
    <mergeCell ref="AS37:BA37"/>
    <mergeCell ref="AS38:BA38"/>
    <mergeCell ref="AS39:BA39"/>
    <mergeCell ref="Y37:AH37"/>
    <mergeCell ref="AI64:AO64"/>
    <mergeCell ref="AP64:AV64"/>
    <mergeCell ref="AW64:BC64"/>
    <mergeCell ref="BD64:BJ64"/>
    <mergeCell ref="B67:D67"/>
    <mergeCell ref="U65:AA65"/>
    <mergeCell ref="AB65:AH65"/>
    <mergeCell ref="AI65:AO65"/>
    <mergeCell ref="AP65:AV65"/>
    <mergeCell ref="AW65:BC65"/>
    <mergeCell ref="G63:H63"/>
    <mergeCell ref="G64:H64"/>
    <mergeCell ref="G65:H65"/>
    <mergeCell ref="N61:T61"/>
    <mergeCell ref="N62:T62"/>
    <mergeCell ref="N63:T63"/>
    <mergeCell ref="N64:T64"/>
    <mergeCell ref="N65:T65"/>
    <mergeCell ref="BD61:BJ61"/>
    <mergeCell ref="U62:AA62"/>
    <mergeCell ref="AB62:AH62"/>
    <mergeCell ref="AI62:AO62"/>
    <mergeCell ref="AP62:AV62"/>
    <mergeCell ref="AW62:BC62"/>
    <mergeCell ref="BD62:BJ62"/>
    <mergeCell ref="U63:AA63"/>
    <mergeCell ref="AB63:AH63"/>
    <mergeCell ref="AI63:AO63"/>
    <mergeCell ref="AP63:AV63"/>
    <mergeCell ref="AW63:BC63"/>
    <mergeCell ref="BD63:BJ63"/>
    <mergeCell ref="BD65:BJ65"/>
    <mergeCell ref="U64:AA64"/>
    <mergeCell ref="AB64:AH64"/>
    <mergeCell ref="C61:F61"/>
    <mergeCell ref="I61:L61"/>
    <mergeCell ref="G61:H61"/>
    <mergeCell ref="U61:AA61"/>
    <mergeCell ref="AB61:AH61"/>
    <mergeCell ref="AI61:AO61"/>
    <mergeCell ref="AP61:AV61"/>
    <mergeCell ref="AW61:BC61"/>
    <mergeCell ref="G62:H62"/>
    <mergeCell ref="G51:I51"/>
    <mergeCell ref="O51:X51"/>
    <mergeCell ref="Y51:AH51"/>
    <mergeCell ref="AI51:AR51"/>
    <mergeCell ref="AS51:BA51"/>
    <mergeCell ref="BB51:BJ51"/>
    <mergeCell ref="B53:D53"/>
    <mergeCell ref="B56:BJ56"/>
    <mergeCell ref="B58:M59"/>
    <mergeCell ref="N58:T59"/>
    <mergeCell ref="U58:AA59"/>
    <mergeCell ref="AB58:AH59"/>
    <mergeCell ref="AI59:AO59"/>
    <mergeCell ref="AP59:AV59"/>
    <mergeCell ref="AW59:BC59"/>
    <mergeCell ref="BD59:BJ59"/>
    <mergeCell ref="AI58:AV58"/>
    <mergeCell ref="AW58:BJ58"/>
    <mergeCell ref="G49:I49"/>
    <mergeCell ref="O49:X49"/>
    <mergeCell ref="Y49:AH49"/>
    <mergeCell ref="AI49:AR49"/>
    <mergeCell ref="AS49:BA49"/>
    <mergeCell ref="BB49:BJ49"/>
    <mergeCell ref="G50:I50"/>
    <mergeCell ref="O50:X50"/>
    <mergeCell ref="Y50:AH50"/>
    <mergeCell ref="AI50:AR50"/>
    <mergeCell ref="AS50:BA50"/>
    <mergeCell ref="BB50:BJ50"/>
    <mergeCell ref="C47:F47"/>
    <mergeCell ref="G47:I47"/>
    <mergeCell ref="J47:M47"/>
    <mergeCell ref="O47:X47"/>
    <mergeCell ref="Y47:AH47"/>
    <mergeCell ref="AI47:AR47"/>
    <mergeCell ref="AS47:BA47"/>
    <mergeCell ref="BB47:BJ47"/>
    <mergeCell ref="G48:I48"/>
    <mergeCell ref="O48:X48"/>
    <mergeCell ref="Y48:AH48"/>
    <mergeCell ref="AI48:AR48"/>
    <mergeCell ref="AS48:BA48"/>
    <mergeCell ref="BB48:BJ48"/>
    <mergeCell ref="B43:N44"/>
    <mergeCell ref="O43:X44"/>
    <mergeCell ref="Y43:AH44"/>
    <mergeCell ref="AI43:AR44"/>
    <mergeCell ref="AS43:BA44"/>
    <mergeCell ref="BB43:BJ44"/>
    <mergeCell ref="AI40:AR40"/>
    <mergeCell ref="Y41:AH41"/>
    <mergeCell ref="AI41:AR41"/>
    <mergeCell ref="AS40:BA40"/>
    <mergeCell ref="AS41:BA41"/>
    <mergeCell ref="B33:N34"/>
    <mergeCell ref="O33:X34"/>
    <mergeCell ref="Y33:AH34"/>
    <mergeCell ref="AI33:AR34"/>
    <mergeCell ref="AS33:BA34"/>
    <mergeCell ref="BB33:BJ34"/>
    <mergeCell ref="O41:X41"/>
    <mergeCell ref="C37:F37"/>
    <mergeCell ref="J37:M37"/>
    <mergeCell ref="G37:I37"/>
    <mergeCell ref="G38:I38"/>
    <mergeCell ref="G39:I39"/>
    <mergeCell ref="G40:I40"/>
    <mergeCell ref="AI37:AR37"/>
    <mergeCell ref="Y38:AH38"/>
    <mergeCell ref="AI38:AR38"/>
    <mergeCell ref="Y39:AH39"/>
    <mergeCell ref="AI39:AR39"/>
    <mergeCell ref="G41:I41"/>
    <mergeCell ref="O37:X37"/>
    <mergeCell ref="O38:X38"/>
    <mergeCell ref="O39:X39"/>
    <mergeCell ref="O40:X40"/>
    <mergeCell ref="Y40:AH40"/>
    <mergeCell ref="B31:BJ31"/>
    <mergeCell ref="AM11:AR11"/>
    <mergeCell ref="AM12:AR12"/>
    <mergeCell ref="AM14:AR14"/>
    <mergeCell ref="AS11:AX11"/>
    <mergeCell ref="AS12:AX12"/>
    <mergeCell ref="AS14:AX14"/>
    <mergeCell ref="AG11:AL11"/>
    <mergeCell ref="AY11:BD11"/>
    <mergeCell ref="AY14:BD14"/>
    <mergeCell ref="BC23:BF23"/>
    <mergeCell ref="BG23:BJ23"/>
    <mergeCell ref="B28:D28"/>
    <mergeCell ref="AQ24:AT24"/>
    <mergeCell ref="AU24:AX24"/>
    <mergeCell ref="AY24:BB24"/>
    <mergeCell ref="AG24:AL24"/>
    <mergeCell ref="AM20:AP20"/>
    <mergeCell ref="AM21:AP21"/>
    <mergeCell ref="AM22:AP22"/>
    <mergeCell ref="AM23:AP23"/>
    <mergeCell ref="AM24:AP24"/>
    <mergeCell ref="BE11:BJ11"/>
    <mergeCell ref="BE12:BJ12"/>
    <mergeCell ref="BE13:BJ13"/>
    <mergeCell ref="AG20:AL20"/>
    <mergeCell ref="AQ20:AT20"/>
    <mergeCell ref="AY23:BB23"/>
    <mergeCell ref="BC18:BF18"/>
    <mergeCell ref="BG18:BJ18"/>
    <mergeCell ref="AM17:AT17"/>
    <mergeCell ref="AU17:BB17"/>
    <mergeCell ref="BC17:BJ17"/>
    <mergeCell ref="AY18:BB18"/>
    <mergeCell ref="AY20:BB20"/>
    <mergeCell ref="AQ23:AT23"/>
    <mergeCell ref="AU23:AX23"/>
    <mergeCell ref="BE14:BJ14"/>
    <mergeCell ref="AG15:AL15"/>
    <mergeCell ref="AM15:AR15"/>
    <mergeCell ref="AS15:AX15"/>
    <mergeCell ref="AY15:BD15"/>
    <mergeCell ref="BE15:BJ15"/>
    <mergeCell ref="AG14:AL14"/>
    <mergeCell ref="AM18:AP18"/>
    <mergeCell ref="AQ18:AT18"/>
    <mergeCell ref="AU18:AX18"/>
    <mergeCell ref="AU20:AX20"/>
    <mergeCell ref="BC24:BF24"/>
    <mergeCell ref="BG24:BJ24"/>
    <mergeCell ref="C26:D26"/>
    <mergeCell ref="O24:T24"/>
    <mergeCell ref="U24:Z24"/>
    <mergeCell ref="AA24:AF24"/>
    <mergeCell ref="BC20:BF20"/>
    <mergeCell ref="BG20:BJ20"/>
    <mergeCell ref="AQ21:AT21"/>
    <mergeCell ref="AU21:AX21"/>
    <mergeCell ref="AY21:BB21"/>
    <mergeCell ref="BC21:BF21"/>
    <mergeCell ref="BG21:BJ21"/>
    <mergeCell ref="AQ22:AT22"/>
    <mergeCell ref="AU22:AX22"/>
    <mergeCell ref="AY22:BB22"/>
    <mergeCell ref="BC22:BF22"/>
    <mergeCell ref="BG22:BJ22"/>
    <mergeCell ref="G21:I21"/>
    <mergeCell ref="G22:I22"/>
    <mergeCell ref="G23:I23"/>
    <mergeCell ref="G24:I24"/>
    <mergeCell ref="O21:T21"/>
    <mergeCell ref="U21:Z21"/>
    <mergeCell ref="O23:T23"/>
    <mergeCell ref="U23:Z23"/>
    <mergeCell ref="AA23:AF23"/>
    <mergeCell ref="AG23:AL23"/>
    <mergeCell ref="AG21:AL21"/>
    <mergeCell ref="B17:N18"/>
    <mergeCell ref="C20:F20"/>
    <mergeCell ref="G20:I20"/>
    <mergeCell ref="J20:M20"/>
    <mergeCell ref="O20:T20"/>
    <mergeCell ref="U20:Z20"/>
    <mergeCell ref="AA20:AF20"/>
    <mergeCell ref="O18:T18"/>
    <mergeCell ref="U18:Z18"/>
    <mergeCell ref="AA18:AF18"/>
    <mergeCell ref="AG18:AL18"/>
    <mergeCell ref="AA21:AF21"/>
    <mergeCell ref="O17:Z17"/>
    <mergeCell ref="AA17:AL17"/>
    <mergeCell ref="O22:T22"/>
    <mergeCell ref="U22:Z22"/>
    <mergeCell ref="AA22:AF22"/>
    <mergeCell ref="AG22:AL22"/>
    <mergeCell ref="AA15:AF15"/>
    <mergeCell ref="U14:Z14"/>
    <mergeCell ref="AA14:AF14"/>
    <mergeCell ref="AY12:BD12"/>
    <mergeCell ref="U13:Z13"/>
    <mergeCell ref="AA13:AF13"/>
    <mergeCell ref="AG13:AL13"/>
    <mergeCell ref="AM13:AR13"/>
    <mergeCell ref="AS13:AX13"/>
    <mergeCell ref="AY13:BD13"/>
    <mergeCell ref="U12:Z12"/>
    <mergeCell ref="AA12:AF12"/>
    <mergeCell ref="AG12:AL12"/>
    <mergeCell ref="G13:I13"/>
    <mergeCell ref="G14:I14"/>
    <mergeCell ref="G15:I15"/>
    <mergeCell ref="O11:T11"/>
    <mergeCell ref="O12:T12"/>
    <mergeCell ref="O13:T13"/>
    <mergeCell ref="O14:T14"/>
    <mergeCell ref="O15:T15"/>
    <mergeCell ref="U15:Z15"/>
    <mergeCell ref="F26:G26"/>
    <mergeCell ref="F27:G27"/>
    <mergeCell ref="AS1:BK2"/>
    <mergeCell ref="B5:BJ5"/>
    <mergeCell ref="B6:BJ6"/>
    <mergeCell ref="B8:N9"/>
    <mergeCell ref="O9:T9"/>
    <mergeCell ref="U9:Z9"/>
    <mergeCell ref="O8:Z8"/>
    <mergeCell ref="AA8:AL8"/>
    <mergeCell ref="AM8:AX8"/>
    <mergeCell ref="AY8:BJ8"/>
    <mergeCell ref="AA9:AF9"/>
    <mergeCell ref="AG9:AL9"/>
    <mergeCell ref="AM9:AR9"/>
    <mergeCell ref="AS9:AX9"/>
    <mergeCell ref="AY9:BD9"/>
    <mergeCell ref="BE9:BJ9"/>
    <mergeCell ref="C11:F11"/>
    <mergeCell ref="J11:M11"/>
    <mergeCell ref="G11:I11"/>
    <mergeCell ref="U11:Z11"/>
    <mergeCell ref="AA11:AF11"/>
    <mergeCell ref="G12:I12"/>
  </mergeCells>
  <phoneticPr fontId="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2"/>
  <sheetViews>
    <sheetView view="pageBreakPreview" zoomScaleNormal="100" zoomScaleSheetLayoutView="100" workbookViewId="0">
      <selection sqref="A1:S2"/>
    </sheetView>
  </sheetViews>
  <sheetFormatPr defaultRowHeight="13.5"/>
  <cols>
    <col min="1" max="1" width="1" customWidth="1"/>
    <col min="2" max="63" width="1.625" customWidth="1"/>
  </cols>
  <sheetData>
    <row r="1" spans="1:63" ht="11.1" customHeight="1">
      <c r="A1" s="376">
        <f>'211'!AS1+1</f>
        <v>212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BK1" s="356"/>
    </row>
    <row r="2" spans="1:63" ht="11.1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63" ht="11.1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</row>
    <row r="4" spans="1:63" ht="11.1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</row>
    <row r="5" spans="1:63" ht="18" customHeight="1">
      <c r="B5" s="379" t="s">
        <v>874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</row>
    <row r="6" spans="1:63" ht="12.9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3" ht="15.75" customHeight="1">
      <c r="B7" s="411" t="s">
        <v>1</v>
      </c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 t="s">
        <v>873</v>
      </c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 t="s">
        <v>872</v>
      </c>
      <c r="AM7" s="386"/>
      <c r="AN7" s="386"/>
      <c r="AO7" s="386"/>
      <c r="AP7" s="386"/>
      <c r="AQ7" s="386"/>
      <c r="AR7" s="386"/>
      <c r="AS7" s="386"/>
      <c r="AT7" s="386"/>
      <c r="AU7" s="386"/>
      <c r="AV7" s="386"/>
      <c r="AW7" s="386"/>
      <c r="AX7" s="386"/>
      <c r="AY7" s="386"/>
      <c r="AZ7" s="386"/>
      <c r="BA7" s="386"/>
      <c r="BB7" s="386"/>
      <c r="BC7" s="386"/>
      <c r="BD7" s="386"/>
      <c r="BE7" s="386"/>
      <c r="BF7" s="386"/>
      <c r="BG7" s="386"/>
      <c r="BH7" s="386"/>
      <c r="BI7" s="386"/>
      <c r="BJ7" s="387"/>
    </row>
    <row r="8" spans="1:63" ht="15.75" customHeight="1">
      <c r="B8" s="412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756" t="s">
        <v>866</v>
      </c>
      <c r="N8" s="385"/>
      <c r="O8" s="385"/>
      <c r="P8" s="385"/>
      <c r="Q8" s="385"/>
      <c r="R8" s="756" t="s">
        <v>869</v>
      </c>
      <c r="S8" s="385"/>
      <c r="T8" s="385"/>
      <c r="U8" s="385"/>
      <c r="V8" s="385"/>
      <c r="W8" s="385" t="s">
        <v>860</v>
      </c>
      <c r="X8" s="385"/>
      <c r="Y8" s="385"/>
      <c r="Z8" s="385"/>
      <c r="AA8" s="385"/>
      <c r="AB8" s="385" t="s">
        <v>871</v>
      </c>
      <c r="AC8" s="385"/>
      <c r="AD8" s="385"/>
      <c r="AE8" s="385"/>
      <c r="AF8" s="385"/>
      <c r="AG8" s="385" t="s">
        <v>870</v>
      </c>
      <c r="AH8" s="385"/>
      <c r="AI8" s="385"/>
      <c r="AJ8" s="385"/>
      <c r="AK8" s="385"/>
      <c r="AL8" s="756" t="s">
        <v>866</v>
      </c>
      <c r="AM8" s="385"/>
      <c r="AN8" s="385"/>
      <c r="AO8" s="385"/>
      <c r="AP8" s="385"/>
      <c r="AQ8" s="756" t="s">
        <v>869</v>
      </c>
      <c r="AR8" s="385"/>
      <c r="AS8" s="385"/>
      <c r="AT8" s="385"/>
      <c r="AU8" s="385"/>
      <c r="AV8" s="385" t="s">
        <v>860</v>
      </c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385"/>
      <c r="BH8" s="385"/>
      <c r="BI8" s="385"/>
      <c r="BJ8" s="388"/>
    </row>
    <row r="9" spans="1:63" ht="15.75" customHeight="1">
      <c r="B9" s="412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5"/>
      <c r="AN9" s="385"/>
      <c r="AO9" s="385"/>
      <c r="AP9" s="385"/>
      <c r="AQ9" s="385"/>
      <c r="AR9" s="385"/>
      <c r="AS9" s="385"/>
      <c r="AT9" s="385"/>
      <c r="AU9" s="385"/>
      <c r="AV9" s="470" t="s">
        <v>238</v>
      </c>
      <c r="AW9" s="766"/>
      <c r="AX9" s="766"/>
      <c r="AY9" s="766"/>
      <c r="AZ9" s="766"/>
      <c r="BA9" s="385" t="s">
        <v>864</v>
      </c>
      <c r="BB9" s="753"/>
      <c r="BC9" s="753"/>
      <c r="BD9" s="753"/>
      <c r="BE9" s="753"/>
      <c r="BF9" s="385" t="s">
        <v>863</v>
      </c>
      <c r="BG9" s="753"/>
      <c r="BH9" s="753"/>
      <c r="BI9" s="753"/>
      <c r="BJ9" s="767"/>
    </row>
    <row r="10" spans="1:63">
      <c r="L10" s="22"/>
      <c r="AY10" s="304"/>
      <c r="AZ10" s="304"/>
      <c r="BD10" s="304"/>
      <c r="BE10" s="304"/>
      <c r="BI10" s="304"/>
      <c r="BJ10" s="304"/>
    </row>
    <row r="11" spans="1:63">
      <c r="C11" s="389" t="s">
        <v>7</v>
      </c>
      <c r="D11" s="389"/>
      <c r="E11" s="389"/>
      <c r="F11" s="380">
        <v>20</v>
      </c>
      <c r="G11" s="380"/>
      <c r="H11" s="380"/>
      <c r="I11" s="389" t="s">
        <v>1</v>
      </c>
      <c r="J11" s="389"/>
      <c r="K11" s="389"/>
      <c r="L11" s="22"/>
      <c r="M11" s="651">
        <v>45</v>
      </c>
      <c r="N11" s="651"/>
      <c r="O11" s="651"/>
      <c r="P11" s="651"/>
      <c r="Q11" s="651"/>
      <c r="R11" s="651">
        <v>12642</v>
      </c>
      <c r="S11" s="651"/>
      <c r="T11" s="651"/>
      <c r="U11" s="651"/>
      <c r="V11" s="651"/>
      <c r="W11" s="651">
        <v>236253</v>
      </c>
      <c r="X11" s="651"/>
      <c r="Y11" s="651"/>
      <c r="Z11" s="651"/>
      <c r="AA11" s="651"/>
      <c r="AB11" s="651">
        <v>309277</v>
      </c>
      <c r="AC11" s="651"/>
      <c r="AD11" s="651"/>
      <c r="AE11" s="651"/>
      <c r="AF11" s="651"/>
      <c r="AG11" s="651">
        <v>102070</v>
      </c>
      <c r="AH11" s="651"/>
      <c r="AI11" s="651"/>
      <c r="AJ11" s="651"/>
      <c r="AK11" s="651"/>
      <c r="AL11" s="651">
        <v>69</v>
      </c>
      <c r="AM11" s="651"/>
      <c r="AN11" s="651"/>
      <c r="AO11" s="651"/>
      <c r="AP11" s="651"/>
      <c r="AQ11" s="651">
        <v>17599</v>
      </c>
      <c r="AR11" s="651"/>
      <c r="AS11" s="651"/>
      <c r="AT11" s="651"/>
      <c r="AU11" s="651"/>
      <c r="AV11" s="874">
        <v>1100034</v>
      </c>
      <c r="AW11" s="874"/>
      <c r="AX11" s="874"/>
      <c r="AY11" s="874"/>
      <c r="AZ11" s="874"/>
      <c r="BA11" s="874">
        <v>415305</v>
      </c>
      <c r="BB11" s="874"/>
      <c r="BC11" s="874"/>
      <c r="BD11" s="874"/>
      <c r="BE11" s="874"/>
      <c r="BF11" s="874">
        <v>684729</v>
      </c>
      <c r="BG11" s="874"/>
      <c r="BH11" s="874"/>
      <c r="BI11" s="874"/>
      <c r="BJ11" s="874"/>
      <c r="BK11" s="312"/>
    </row>
    <row r="12" spans="1:63">
      <c r="F12" s="380">
        <v>21</v>
      </c>
      <c r="G12" s="380"/>
      <c r="H12" s="380"/>
      <c r="L12" s="22"/>
      <c r="M12" s="651">
        <v>45</v>
      </c>
      <c r="N12" s="651"/>
      <c r="O12" s="651"/>
      <c r="P12" s="651"/>
      <c r="Q12" s="651"/>
      <c r="R12" s="651">
        <v>11935</v>
      </c>
      <c r="S12" s="651"/>
      <c r="T12" s="651"/>
      <c r="U12" s="651"/>
      <c r="V12" s="651"/>
      <c r="W12" s="651">
        <v>189212</v>
      </c>
      <c r="X12" s="651"/>
      <c r="Y12" s="651"/>
      <c r="Z12" s="651"/>
      <c r="AA12" s="651"/>
      <c r="AB12" s="651">
        <v>296314</v>
      </c>
      <c r="AC12" s="651"/>
      <c r="AD12" s="651"/>
      <c r="AE12" s="651"/>
      <c r="AF12" s="651"/>
      <c r="AG12" s="651">
        <v>64119</v>
      </c>
      <c r="AH12" s="651"/>
      <c r="AI12" s="651"/>
      <c r="AJ12" s="651"/>
      <c r="AK12" s="651"/>
      <c r="AL12" s="651">
        <v>69</v>
      </c>
      <c r="AM12" s="651"/>
      <c r="AN12" s="651"/>
      <c r="AO12" s="651"/>
      <c r="AP12" s="651"/>
      <c r="AQ12" s="651">
        <v>22654</v>
      </c>
      <c r="AR12" s="651"/>
      <c r="AS12" s="651"/>
      <c r="AT12" s="651"/>
      <c r="AU12" s="651"/>
      <c r="AV12" s="874">
        <v>1084485</v>
      </c>
      <c r="AW12" s="874"/>
      <c r="AX12" s="874"/>
      <c r="AY12" s="874"/>
      <c r="AZ12" s="874"/>
      <c r="BA12" s="874">
        <v>402338</v>
      </c>
      <c r="BB12" s="874"/>
      <c r="BC12" s="874"/>
      <c r="BD12" s="874"/>
      <c r="BE12" s="874"/>
      <c r="BF12" s="874">
        <v>682147</v>
      </c>
      <c r="BG12" s="874"/>
      <c r="BH12" s="874"/>
      <c r="BI12" s="874"/>
      <c r="BJ12" s="874"/>
      <c r="BK12" s="312"/>
    </row>
    <row r="13" spans="1:63">
      <c r="F13" s="380">
        <v>22</v>
      </c>
      <c r="G13" s="380"/>
      <c r="H13" s="380"/>
      <c r="L13" s="22"/>
      <c r="M13" s="876">
        <v>43</v>
      </c>
      <c r="N13" s="876"/>
      <c r="O13" s="876"/>
      <c r="P13" s="876"/>
      <c r="Q13" s="876"/>
      <c r="R13" s="876">
        <v>11922</v>
      </c>
      <c r="S13" s="876"/>
      <c r="T13" s="876"/>
      <c r="U13" s="876"/>
      <c r="V13" s="876"/>
      <c r="W13" s="876">
        <v>214777</v>
      </c>
      <c r="X13" s="876"/>
      <c r="Y13" s="876"/>
      <c r="Z13" s="876"/>
      <c r="AA13" s="876"/>
      <c r="AB13" s="876">
        <v>283416</v>
      </c>
      <c r="AC13" s="876"/>
      <c r="AD13" s="876"/>
      <c r="AE13" s="876"/>
      <c r="AF13" s="876"/>
      <c r="AG13" s="876">
        <v>64355</v>
      </c>
      <c r="AH13" s="876"/>
      <c r="AI13" s="876"/>
      <c r="AJ13" s="876"/>
      <c r="AK13" s="876"/>
      <c r="AL13" s="876">
        <v>65</v>
      </c>
      <c r="AM13" s="876"/>
      <c r="AN13" s="876"/>
      <c r="AO13" s="876"/>
      <c r="AP13" s="876"/>
      <c r="AQ13" s="876">
        <v>21421</v>
      </c>
      <c r="AR13" s="876"/>
      <c r="AS13" s="876"/>
      <c r="AT13" s="876"/>
      <c r="AU13" s="876"/>
      <c r="AV13" s="874">
        <v>1085209</v>
      </c>
      <c r="AW13" s="874"/>
      <c r="AX13" s="874"/>
      <c r="AY13" s="874"/>
      <c r="AZ13" s="874"/>
      <c r="BA13" s="874">
        <v>402277</v>
      </c>
      <c r="BB13" s="874"/>
      <c r="BC13" s="874"/>
      <c r="BD13" s="874"/>
      <c r="BE13" s="874"/>
      <c r="BF13" s="874">
        <v>682932</v>
      </c>
      <c r="BG13" s="874"/>
      <c r="BH13" s="874"/>
      <c r="BI13" s="874"/>
      <c r="BJ13" s="874"/>
      <c r="BK13" s="367"/>
    </row>
    <row r="14" spans="1:63">
      <c r="F14" s="380">
        <v>23</v>
      </c>
      <c r="G14" s="380"/>
      <c r="H14" s="380"/>
      <c r="L14" s="22"/>
      <c r="M14" s="876">
        <v>42</v>
      </c>
      <c r="N14" s="876"/>
      <c r="O14" s="876"/>
      <c r="P14" s="876"/>
      <c r="Q14" s="876"/>
      <c r="R14" s="876">
        <v>12218</v>
      </c>
      <c r="S14" s="876"/>
      <c r="T14" s="876"/>
      <c r="U14" s="876"/>
      <c r="V14" s="876"/>
      <c r="W14" s="876">
        <v>208813</v>
      </c>
      <c r="X14" s="876"/>
      <c r="Y14" s="876"/>
      <c r="Z14" s="876"/>
      <c r="AA14" s="876"/>
      <c r="AB14" s="876">
        <v>292962</v>
      </c>
      <c r="AC14" s="876"/>
      <c r="AD14" s="876"/>
      <c r="AE14" s="876"/>
      <c r="AF14" s="876"/>
      <c r="AG14" s="876">
        <v>61571</v>
      </c>
      <c r="AH14" s="876"/>
      <c r="AI14" s="876"/>
      <c r="AJ14" s="876"/>
      <c r="AK14" s="876"/>
      <c r="AL14" s="876">
        <v>65</v>
      </c>
      <c r="AM14" s="876"/>
      <c r="AN14" s="876"/>
      <c r="AO14" s="876"/>
      <c r="AP14" s="876"/>
      <c r="AQ14" s="876">
        <v>21465</v>
      </c>
      <c r="AR14" s="876"/>
      <c r="AS14" s="876"/>
      <c r="AT14" s="876"/>
      <c r="AU14" s="876"/>
      <c r="AV14" s="874">
        <v>1076534</v>
      </c>
      <c r="AW14" s="874"/>
      <c r="AX14" s="874"/>
      <c r="AY14" s="874"/>
      <c r="AZ14" s="874"/>
      <c r="BA14" s="874">
        <v>413762</v>
      </c>
      <c r="BB14" s="874"/>
      <c r="BC14" s="874"/>
      <c r="BD14" s="874"/>
      <c r="BE14" s="874"/>
      <c r="BF14" s="874">
        <v>662772</v>
      </c>
      <c r="BG14" s="874"/>
      <c r="BH14" s="874"/>
      <c r="BI14" s="874"/>
      <c r="BJ14" s="874"/>
      <c r="BK14" s="367"/>
    </row>
    <row r="15" spans="1:63">
      <c r="F15" s="392">
        <v>24</v>
      </c>
      <c r="G15" s="392"/>
      <c r="H15" s="392"/>
      <c r="L15" s="22"/>
      <c r="M15" s="877">
        <v>42</v>
      </c>
      <c r="N15" s="877"/>
      <c r="O15" s="877"/>
      <c r="P15" s="877"/>
      <c r="Q15" s="877"/>
      <c r="R15" s="877">
        <v>12589</v>
      </c>
      <c r="S15" s="877"/>
      <c r="T15" s="877"/>
      <c r="U15" s="877"/>
      <c r="V15" s="877"/>
      <c r="W15" s="877">
        <v>212926</v>
      </c>
      <c r="X15" s="877"/>
      <c r="Y15" s="877"/>
      <c r="Z15" s="877"/>
      <c r="AA15" s="877"/>
      <c r="AB15" s="877">
        <v>289807</v>
      </c>
      <c r="AC15" s="877"/>
      <c r="AD15" s="877"/>
      <c r="AE15" s="877"/>
      <c r="AF15" s="877"/>
      <c r="AG15" s="877">
        <v>64605</v>
      </c>
      <c r="AH15" s="877"/>
      <c r="AI15" s="877"/>
      <c r="AJ15" s="877"/>
      <c r="AK15" s="877"/>
      <c r="AL15" s="877">
        <v>65</v>
      </c>
      <c r="AM15" s="877"/>
      <c r="AN15" s="877"/>
      <c r="AO15" s="877"/>
      <c r="AP15" s="877"/>
      <c r="AQ15" s="877">
        <v>20221</v>
      </c>
      <c r="AR15" s="877"/>
      <c r="AS15" s="877"/>
      <c r="AT15" s="877"/>
      <c r="AU15" s="877"/>
      <c r="AV15" s="875">
        <f>SUM(BA15:BK15)</f>
        <v>1074705</v>
      </c>
      <c r="AW15" s="875"/>
      <c r="AX15" s="875"/>
      <c r="AY15" s="875"/>
      <c r="AZ15" s="875"/>
      <c r="BA15" s="875">
        <v>400040</v>
      </c>
      <c r="BB15" s="875"/>
      <c r="BC15" s="875"/>
      <c r="BD15" s="875"/>
      <c r="BE15" s="875"/>
      <c r="BF15" s="875">
        <v>674665</v>
      </c>
      <c r="BG15" s="875"/>
      <c r="BH15" s="875"/>
      <c r="BI15" s="875"/>
      <c r="BJ15" s="875"/>
      <c r="BK15" s="368"/>
    </row>
    <row r="16" spans="1:63">
      <c r="B16" s="1"/>
      <c r="C16" s="1"/>
      <c r="D16" s="1"/>
      <c r="E16" s="1"/>
      <c r="F16" s="1"/>
      <c r="G16" s="1"/>
      <c r="H16" s="1"/>
      <c r="I16" s="1"/>
      <c r="J16" s="1"/>
      <c r="K16" s="1"/>
      <c r="L16" s="2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2:63" ht="15.75" customHeight="1">
      <c r="B17" s="411" t="s">
        <v>1</v>
      </c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 t="s">
        <v>868</v>
      </c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 t="s">
        <v>867</v>
      </c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  <c r="AU17" s="386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386"/>
      <c r="BH17" s="386"/>
      <c r="BI17" s="386"/>
      <c r="BJ17" s="387"/>
    </row>
    <row r="18" spans="2:63" ht="15.75" customHeight="1">
      <c r="B18" s="412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756" t="s">
        <v>866</v>
      </c>
      <c r="N18" s="385"/>
      <c r="O18" s="385"/>
      <c r="P18" s="385"/>
      <c r="Q18" s="385"/>
      <c r="R18" s="385"/>
      <c r="S18" s="385" t="s">
        <v>865</v>
      </c>
      <c r="T18" s="385"/>
      <c r="U18" s="385"/>
      <c r="V18" s="385"/>
      <c r="W18" s="385"/>
      <c r="X18" s="385"/>
      <c r="Y18" s="385" t="s">
        <v>860</v>
      </c>
      <c r="Z18" s="385"/>
      <c r="AA18" s="385"/>
      <c r="AB18" s="385"/>
      <c r="AC18" s="385"/>
      <c r="AD18" s="385"/>
      <c r="AE18" s="385" t="s">
        <v>861</v>
      </c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 t="s">
        <v>860</v>
      </c>
      <c r="AR18" s="385"/>
      <c r="AS18" s="385"/>
      <c r="AT18" s="385"/>
      <c r="AU18" s="385"/>
      <c r="AV18" s="385"/>
      <c r="AW18" s="385"/>
      <c r="AX18" s="385"/>
      <c r="AY18" s="385"/>
      <c r="AZ18" s="385"/>
      <c r="BA18" s="385"/>
      <c r="BB18" s="385"/>
      <c r="BC18" s="385"/>
      <c r="BD18" s="385"/>
      <c r="BE18" s="385"/>
      <c r="BF18" s="385"/>
      <c r="BG18" s="385"/>
      <c r="BH18" s="385"/>
      <c r="BI18" s="385"/>
      <c r="BJ18" s="388"/>
    </row>
    <row r="19" spans="2:63" ht="15.75" customHeight="1">
      <c r="B19" s="412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 t="s">
        <v>672</v>
      </c>
      <c r="AF19" s="385"/>
      <c r="AG19" s="385"/>
      <c r="AH19" s="385"/>
      <c r="AI19" s="385"/>
      <c r="AJ19" s="385"/>
      <c r="AK19" s="385" t="s">
        <v>671</v>
      </c>
      <c r="AL19" s="385"/>
      <c r="AM19" s="385"/>
      <c r="AN19" s="385"/>
      <c r="AO19" s="385"/>
      <c r="AP19" s="385"/>
      <c r="AQ19" s="470" t="s">
        <v>238</v>
      </c>
      <c r="AR19" s="470"/>
      <c r="AS19" s="470"/>
      <c r="AT19" s="470"/>
      <c r="AU19" s="470"/>
      <c r="AV19" s="470"/>
      <c r="AW19" s="470"/>
      <c r="AX19" s="385" t="s">
        <v>864</v>
      </c>
      <c r="AY19" s="385"/>
      <c r="AZ19" s="385"/>
      <c r="BA19" s="385"/>
      <c r="BB19" s="385"/>
      <c r="BC19" s="385"/>
      <c r="BD19" s="385"/>
      <c r="BE19" s="385" t="s">
        <v>863</v>
      </c>
      <c r="BF19" s="753"/>
      <c r="BG19" s="753"/>
      <c r="BH19" s="753"/>
      <c r="BI19" s="753"/>
      <c r="BJ19" s="767"/>
      <c r="BK19" s="304"/>
    </row>
    <row r="20" spans="2:63">
      <c r="L20" s="22"/>
      <c r="AV20" s="304"/>
      <c r="AW20" s="304"/>
      <c r="BC20" s="304"/>
      <c r="BD20" s="304"/>
      <c r="BI20" s="304"/>
      <c r="BJ20" s="304"/>
    </row>
    <row r="21" spans="2:63">
      <c r="C21" s="389" t="s">
        <v>7</v>
      </c>
      <c r="D21" s="389"/>
      <c r="E21" s="389"/>
      <c r="F21" s="380">
        <v>20</v>
      </c>
      <c r="G21" s="380"/>
      <c r="H21" s="380"/>
      <c r="I21" s="389" t="s">
        <v>1</v>
      </c>
      <c r="J21" s="389"/>
      <c r="K21" s="389"/>
      <c r="L21" s="22"/>
      <c r="M21" s="876">
        <v>23</v>
      </c>
      <c r="N21" s="393"/>
      <c r="O21" s="393"/>
      <c r="P21" s="393"/>
      <c r="Q21" s="393"/>
      <c r="R21" s="393"/>
      <c r="S21" s="878">
        <v>4417</v>
      </c>
      <c r="T21" s="391"/>
      <c r="U21" s="391"/>
      <c r="V21" s="391"/>
      <c r="W21" s="391"/>
      <c r="X21" s="391"/>
      <c r="Y21" s="878">
        <v>79245</v>
      </c>
      <c r="Z21" s="391"/>
      <c r="AA21" s="391"/>
      <c r="AB21" s="391"/>
      <c r="AC21" s="391"/>
      <c r="AD21" s="391"/>
      <c r="AE21" s="876">
        <v>32</v>
      </c>
      <c r="AF21" s="393"/>
      <c r="AG21" s="393"/>
      <c r="AH21" s="393"/>
      <c r="AI21" s="393"/>
      <c r="AJ21" s="393"/>
      <c r="AK21" s="878">
        <v>4</v>
      </c>
      <c r="AL21" s="391"/>
      <c r="AM21" s="391"/>
      <c r="AN21" s="391"/>
      <c r="AO21" s="391"/>
      <c r="AP21" s="391"/>
      <c r="AQ21" s="874">
        <v>217017</v>
      </c>
      <c r="AR21" s="879"/>
      <c r="AS21" s="879"/>
      <c r="AT21" s="879"/>
      <c r="AU21" s="879"/>
      <c r="AV21" s="879"/>
      <c r="AW21" s="879"/>
      <c r="AX21" s="874">
        <v>177144</v>
      </c>
      <c r="AY21" s="879"/>
      <c r="AZ21" s="879"/>
      <c r="BA21" s="879"/>
      <c r="BB21" s="879"/>
      <c r="BC21" s="879"/>
      <c r="BD21" s="879"/>
      <c r="BE21" s="874">
        <v>39873</v>
      </c>
      <c r="BF21" s="879"/>
      <c r="BG21" s="879"/>
      <c r="BH21" s="879"/>
      <c r="BI21" s="879"/>
      <c r="BJ21" s="879"/>
      <c r="BK21" s="367"/>
    </row>
    <row r="22" spans="2:63">
      <c r="F22" s="380">
        <v>21</v>
      </c>
      <c r="G22" s="380"/>
      <c r="H22" s="380"/>
      <c r="L22" s="22"/>
      <c r="M22" s="876">
        <v>23</v>
      </c>
      <c r="N22" s="393"/>
      <c r="O22" s="393"/>
      <c r="P22" s="393"/>
      <c r="Q22" s="393"/>
      <c r="R22" s="393"/>
      <c r="S22" s="878">
        <v>4046</v>
      </c>
      <c r="T22" s="391"/>
      <c r="U22" s="391"/>
      <c r="V22" s="391"/>
      <c r="W22" s="391"/>
      <c r="X22" s="391"/>
      <c r="Y22" s="878">
        <v>74249</v>
      </c>
      <c r="Z22" s="391"/>
      <c r="AA22" s="391"/>
      <c r="AB22" s="391"/>
      <c r="AC22" s="391"/>
      <c r="AD22" s="391"/>
      <c r="AE22" s="876">
        <v>33</v>
      </c>
      <c r="AF22" s="393"/>
      <c r="AG22" s="393"/>
      <c r="AH22" s="393"/>
      <c r="AI22" s="393"/>
      <c r="AJ22" s="393"/>
      <c r="AK22" s="878">
        <v>4</v>
      </c>
      <c r="AL22" s="391"/>
      <c r="AM22" s="391"/>
      <c r="AN22" s="391"/>
      <c r="AO22" s="391"/>
      <c r="AP22" s="391"/>
      <c r="AQ22" s="874">
        <v>211838</v>
      </c>
      <c r="AR22" s="879"/>
      <c r="AS22" s="879"/>
      <c r="AT22" s="879"/>
      <c r="AU22" s="879"/>
      <c r="AV22" s="879"/>
      <c r="AW22" s="879"/>
      <c r="AX22" s="874">
        <v>172586</v>
      </c>
      <c r="AY22" s="879"/>
      <c r="AZ22" s="879"/>
      <c r="BA22" s="879"/>
      <c r="BB22" s="879"/>
      <c r="BC22" s="879"/>
      <c r="BD22" s="879"/>
      <c r="BE22" s="874">
        <v>39252</v>
      </c>
      <c r="BF22" s="879"/>
      <c r="BG22" s="879"/>
      <c r="BH22" s="879"/>
      <c r="BI22" s="879"/>
      <c r="BJ22" s="879"/>
      <c r="BK22" s="367"/>
    </row>
    <row r="23" spans="2:63">
      <c r="F23" s="380">
        <v>22</v>
      </c>
      <c r="G23" s="380"/>
      <c r="H23" s="380"/>
      <c r="L23" s="22"/>
      <c r="M23" s="876">
        <v>22</v>
      </c>
      <c r="N23" s="393"/>
      <c r="O23" s="393"/>
      <c r="P23" s="393"/>
      <c r="Q23" s="393"/>
      <c r="R23" s="393"/>
      <c r="S23" s="878">
        <v>3467</v>
      </c>
      <c r="T23" s="391"/>
      <c r="U23" s="391"/>
      <c r="V23" s="391"/>
      <c r="W23" s="391"/>
      <c r="X23" s="391"/>
      <c r="Y23" s="878">
        <v>71821</v>
      </c>
      <c r="Z23" s="391"/>
      <c r="AA23" s="391"/>
      <c r="AB23" s="391"/>
      <c r="AC23" s="391"/>
      <c r="AD23" s="391"/>
      <c r="AE23" s="876">
        <v>33</v>
      </c>
      <c r="AF23" s="393"/>
      <c r="AG23" s="393"/>
      <c r="AH23" s="393"/>
      <c r="AI23" s="393"/>
      <c r="AJ23" s="393"/>
      <c r="AK23" s="878">
        <v>4</v>
      </c>
      <c r="AL23" s="391"/>
      <c r="AM23" s="391"/>
      <c r="AN23" s="391"/>
      <c r="AO23" s="391"/>
      <c r="AP23" s="391"/>
      <c r="AQ23" s="874">
        <v>228199</v>
      </c>
      <c r="AR23" s="879"/>
      <c r="AS23" s="879"/>
      <c r="AT23" s="879"/>
      <c r="AU23" s="879"/>
      <c r="AV23" s="879"/>
      <c r="AW23" s="879"/>
      <c r="AX23" s="874">
        <v>189192</v>
      </c>
      <c r="AY23" s="879"/>
      <c r="AZ23" s="879"/>
      <c r="BA23" s="879"/>
      <c r="BB23" s="879"/>
      <c r="BC23" s="879"/>
      <c r="BD23" s="879"/>
      <c r="BE23" s="874">
        <v>39007</v>
      </c>
      <c r="BF23" s="879"/>
      <c r="BG23" s="879"/>
      <c r="BH23" s="879"/>
      <c r="BI23" s="879"/>
      <c r="BJ23" s="879"/>
      <c r="BK23" s="366"/>
    </row>
    <row r="24" spans="2:63">
      <c r="F24" s="380">
        <v>23</v>
      </c>
      <c r="G24" s="380"/>
      <c r="H24" s="380"/>
      <c r="L24" s="22"/>
      <c r="M24" s="876">
        <v>21</v>
      </c>
      <c r="N24" s="393"/>
      <c r="O24" s="393"/>
      <c r="P24" s="393"/>
      <c r="Q24" s="393"/>
      <c r="R24" s="393"/>
      <c r="S24" s="878">
        <v>3061</v>
      </c>
      <c r="T24" s="391"/>
      <c r="U24" s="391"/>
      <c r="V24" s="391"/>
      <c r="W24" s="391"/>
      <c r="X24" s="391"/>
      <c r="Y24" s="878">
        <v>58783</v>
      </c>
      <c r="Z24" s="391"/>
      <c r="AA24" s="391"/>
      <c r="AB24" s="391"/>
      <c r="AC24" s="391"/>
      <c r="AD24" s="391"/>
      <c r="AE24" s="876">
        <v>33</v>
      </c>
      <c r="AF24" s="393"/>
      <c r="AG24" s="393"/>
      <c r="AH24" s="393"/>
      <c r="AI24" s="393"/>
      <c r="AJ24" s="393"/>
      <c r="AK24" s="878">
        <v>4</v>
      </c>
      <c r="AL24" s="391"/>
      <c r="AM24" s="391"/>
      <c r="AN24" s="391"/>
      <c r="AO24" s="391"/>
      <c r="AP24" s="391"/>
      <c r="AQ24" s="874">
        <v>225388</v>
      </c>
      <c r="AR24" s="879"/>
      <c r="AS24" s="879"/>
      <c r="AT24" s="879"/>
      <c r="AU24" s="879"/>
      <c r="AV24" s="879"/>
      <c r="AW24" s="879"/>
      <c r="AX24" s="874">
        <v>187004</v>
      </c>
      <c r="AY24" s="879"/>
      <c r="AZ24" s="879"/>
      <c r="BA24" s="879"/>
      <c r="BB24" s="879"/>
      <c r="BC24" s="879"/>
      <c r="BD24" s="879"/>
      <c r="BE24" s="874">
        <v>38384</v>
      </c>
      <c r="BF24" s="879"/>
      <c r="BG24" s="879"/>
      <c r="BH24" s="879"/>
      <c r="BI24" s="879"/>
      <c r="BJ24" s="879"/>
      <c r="BK24" s="365"/>
    </row>
    <row r="25" spans="2:63">
      <c r="F25" s="392">
        <v>24</v>
      </c>
      <c r="G25" s="392"/>
      <c r="H25" s="392"/>
      <c r="L25" s="22"/>
      <c r="M25" s="880">
        <v>19</v>
      </c>
      <c r="N25" s="396"/>
      <c r="O25" s="396"/>
      <c r="P25" s="396"/>
      <c r="Q25" s="396"/>
      <c r="R25" s="396"/>
      <c r="S25" s="880">
        <v>3221</v>
      </c>
      <c r="T25" s="396"/>
      <c r="U25" s="396"/>
      <c r="V25" s="396"/>
      <c r="W25" s="396"/>
      <c r="X25" s="396"/>
      <c r="Y25" s="880">
        <v>61564</v>
      </c>
      <c r="Z25" s="396"/>
      <c r="AA25" s="396"/>
      <c r="AB25" s="396"/>
      <c r="AC25" s="396"/>
      <c r="AD25" s="396"/>
      <c r="AE25" s="880">
        <v>33</v>
      </c>
      <c r="AF25" s="396"/>
      <c r="AG25" s="396"/>
      <c r="AH25" s="396"/>
      <c r="AI25" s="396"/>
      <c r="AJ25" s="396"/>
      <c r="AK25" s="880">
        <v>4</v>
      </c>
      <c r="AL25" s="396"/>
      <c r="AM25" s="396"/>
      <c r="AN25" s="396"/>
      <c r="AO25" s="396"/>
      <c r="AP25" s="396"/>
      <c r="AQ25" s="875">
        <f>SUM(AX25:BK25)</f>
        <v>232282</v>
      </c>
      <c r="AR25" s="881"/>
      <c r="AS25" s="881"/>
      <c r="AT25" s="881"/>
      <c r="AU25" s="881"/>
      <c r="AV25" s="881"/>
      <c r="AW25" s="881"/>
      <c r="AX25" s="882">
        <v>191956</v>
      </c>
      <c r="AY25" s="882"/>
      <c r="AZ25" s="882"/>
      <c r="BA25" s="882"/>
      <c r="BB25" s="882"/>
      <c r="BC25" s="882"/>
      <c r="BD25" s="882"/>
      <c r="BE25" s="882">
        <v>40326</v>
      </c>
      <c r="BF25" s="882"/>
      <c r="BG25" s="882"/>
      <c r="BH25" s="882"/>
      <c r="BI25" s="882"/>
      <c r="BJ25" s="882"/>
    </row>
    <row r="26" spans="2:63">
      <c r="B26" s="1"/>
      <c r="C26" s="1"/>
      <c r="D26" s="1"/>
      <c r="E26" s="1"/>
      <c r="F26" s="1"/>
      <c r="G26" s="1"/>
      <c r="H26" s="1"/>
      <c r="I26" s="1"/>
      <c r="J26" s="1"/>
      <c r="K26" s="1"/>
      <c r="L26" s="2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2:63" ht="15.75" customHeight="1">
      <c r="B27" s="411" t="s">
        <v>1</v>
      </c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 t="s">
        <v>862</v>
      </c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7"/>
    </row>
    <row r="28" spans="2:63" ht="15.75" customHeight="1">
      <c r="B28" s="412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 t="s">
        <v>861</v>
      </c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 t="s">
        <v>860</v>
      </c>
      <c r="AB28" s="385"/>
      <c r="AC28" s="385"/>
      <c r="AD28" s="385"/>
      <c r="AE28" s="385"/>
      <c r="AF28" s="385"/>
      <c r="AG28" s="388"/>
    </row>
    <row r="29" spans="2:63" ht="15.75" customHeight="1">
      <c r="B29" s="412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 t="s">
        <v>672</v>
      </c>
      <c r="N29" s="385"/>
      <c r="O29" s="385"/>
      <c r="P29" s="385"/>
      <c r="Q29" s="385"/>
      <c r="R29" s="385"/>
      <c r="S29" s="385"/>
      <c r="T29" s="385" t="s">
        <v>671</v>
      </c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8"/>
    </row>
    <row r="30" spans="2:63">
      <c r="L30" s="21"/>
    </row>
    <row r="31" spans="2:63">
      <c r="C31" s="389" t="s">
        <v>7</v>
      </c>
      <c r="D31" s="389"/>
      <c r="E31" s="389"/>
      <c r="F31" s="380">
        <v>20</v>
      </c>
      <c r="G31" s="380"/>
      <c r="H31" s="380"/>
      <c r="I31" s="389" t="s">
        <v>1</v>
      </c>
      <c r="J31" s="389"/>
      <c r="K31" s="389"/>
      <c r="L31" s="22"/>
      <c r="M31" s="409">
        <v>9</v>
      </c>
      <c r="N31" s="409"/>
      <c r="O31" s="409"/>
      <c r="P31" s="409"/>
      <c r="Q31" s="409"/>
      <c r="R31" s="409"/>
      <c r="S31" s="409"/>
      <c r="T31" s="409">
        <v>0</v>
      </c>
      <c r="U31" s="409"/>
      <c r="V31" s="409"/>
      <c r="W31" s="409"/>
      <c r="X31" s="409"/>
      <c r="Y31" s="409"/>
      <c r="Z31" s="409"/>
      <c r="AA31" s="409">
        <v>7882</v>
      </c>
      <c r="AB31" s="409"/>
      <c r="AC31" s="409"/>
      <c r="AD31" s="409"/>
      <c r="AE31" s="409"/>
      <c r="AF31" s="409"/>
      <c r="AG31" s="409"/>
    </row>
    <row r="32" spans="2:63">
      <c r="F32" s="380">
        <v>21</v>
      </c>
      <c r="G32" s="380"/>
      <c r="H32" s="380"/>
      <c r="L32" s="22"/>
      <c r="M32" s="409">
        <v>9</v>
      </c>
      <c r="N32" s="409"/>
      <c r="O32" s="409"/>
      <c r="P32" s="409"/>
      <c r="Q32" s="409"/>
      <c r="R32" s="409"/>
      <c r="S32" s="409"/>
      <c r="T32" s="409">
        <v>0</v>
      </c>
      <c r="U32" s="409"/>
      <c r="V32" s="409"/>
      <c r="W32" s="409"/>
      <c r="X32" s="409"/>
      <c r="Y32" s="409"/>
      <c r="Z32" s="409"/>
      <c r="AA32" s="409">
        <v>6211</v>
      </c>
      <c r="AB32" s="409"/>
      <c r="AC32" s="409"/>
      <c r="AD32" s="409"/>
      <c r="AE32" s="409"/>
      <c r="AF32" s="409"/>
      <c r="AG32" s="409"/>
    </row>
    <row r="33" spans="2:62">
      <c r="F33" s="380">
        <v>22</v>
      </c>
      <c r="G33" s="380"/>
      <c r="H33" s="380"/>
      <c r="L33" s="22"/>
      <c r="M33" s="409">
        <v>8</v>
      </c>
      <c r="N33" s="409"/>
      <c r="O33" s="409"/>
      <c r="P33" s="409"/>
      <c r="Q33" s="409"/>
      <c r="R33" s="409"/>
      <c r="S33" s="409"/>
      <c r="T33" s="409">
        <v>0</v>
      </c>
      <c r="U33" s="409"/>
      <c r="V33" s="409"/>
      <c r="W33" s="409"/>
      <c r="X33" s="409"/>
      <c r="Y33" s="409"/>
      <c r="Z33" s="409"/>
      <c r="AA33" s="409">
        <v>5293</v>
      </c>
      <c r="AB33" s="409"/>
      <c r="AC33" s="409"/>
      <c r="AD33" s="409"/>
      <c r="AE33" s="409"/>
      <c r="AF33" s="409"/>
      <c r="AG33" s="409"/>
    </row>
    <row r="34" spans="2:62">
      <c r="F34" s="380">
        <v>23</v>
      </c>
      <c r="G34" s="380"/>
      <c r="H34" s="380"/>
      <c r="L34" s="22"/>
      <c r="M34" s="409">
        <v>8</v>
      </c>
      <c r="N34" s="409"/>
      <c r="O34" s="409"/>
      <c r="P34" s="409"/>
      <c r="Q34" s="409"/>
      <c r="R34" s="409"/>
      <c r="S34" s="409"/>
      <c r="T34" s="409">
        <v>0</v>
      </c>
      <c r="U34" s="409"/>
      <c r="V34" s="409"/>
      <c r="W34" s="409"/>
      <c r="X34" s="409"/>
      <c r="Y34" s="409"/>
      <c r="Z34" s="409"/>
      <c r="AA34" s="409">
        <v>5321</v>
      </c>
      <c r="AB34" s="409"/>
      <c r="AC34" s="409"/>
      <c r="AD34" s="409"/>
      <c r="AE34" s="409"/>
      <c r="AF34" s="409"/>
      <c r="AG34" s="409"/>
    </row>
    <row r="35" spans="2:62">
      <c r="F35" s="392">
        <v>24</v>
      </c>
      <c r="G35" s="392"/>
      <c r="H35" s="392"/>
      <c r="L35" s="22"/>
      <c r="M35" s="542">
        <v>8</v>
      </c>
      <c r="N35" s="737"/>
      <c r="O35" s="737"/>
      <c r="P35" s="737"/>
      <c r="Q35" s="737"/>
      <c r="R35" s="737"/>
      <c r="S35" s="737"/>
      <c r="T35" s="541">
        <v>0</v>
      </c>
      <c r="U35" s="737"/>
      <c r="V35" s="737"/>
      <c r="W35" s="737"/>
      <c r="X35" s="737"/>
      <c r="Y35" s="737"/>
      <c r="Z35" s="737"/>
      <c r="AA35" s="541">
        <v>5339</v>
      </c>
      <c r="AB35" s="737"/>
      <c r="AC35" s="737"/>
      <c r="AD35" s="737"/>
      <c r="AE35" s="737"/>
      <c r="AF35" s="737"/>
      <c r="AG35" s="737"/>
    </row>
    <row r="36" spans="2:62">
      <c r="B36" s="1"/>
      <c r="C36" s="1"/>
      <c r="D36" s="1"/>
      <c r="E36" s="1"/>
      <c r="F36" s="1"/>
      <c r="G36" s="1"/>
      <c r="H36" s="1"/>
      <c r="I36" s="1"/>
      <c r="J36" s="1"/>
      <c r="K36" s="1"/>
      <c r="L36" s="2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2:62">
      <c r="B37" s="410" t="s">
        <v>9</v>
      </c>
      <c r="C37" s="410"/>
      <c r="D37" s="410"/>
      <c r="E37" s="297" t="s">
        <v>475</v>
      </c>
      <c r="F37" s="2" t="s">
        <v>859</v>
      </c>
    </row>
    <row r="41" spans="2:62" ht="18" customHeight="1">
      <c r="B41" s="379" t="s">
        <v>858</v>
      </c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79"/>
      <c r="AM41" s="379"/>
      <c r="AN41" s="379"/>
      <c r="AO41" s="379"/>
      <c r="AP41" s="379"/>
      <c r="AQ41" s="379"/>
      <c r="AR41" s="379"/>
      <c r="AS41" s="379"/>
      <c r="AT41" s="379"/>
      <c r="AU41" s="379"/>
      <c r="AV41" s="379"/>
      <c r="AW41" s="379"/>
      <c r="AX41" s="379"/>
      <c r="AY41" s="379"/>
      <c r="AZ41" s="379"/>
      <c r="BA41" s="379"/>
      <c r="BB41" s="379"/>
      <c r="BC41" s="379"/>
      <c r="BD41" s="379"/>
      <c r="BE41" s="379"/>
      <c r="BF41" s="379"/>
      <c r="BG41" s="379"/>
      <c r="BH41" s="379"/>
      <c r="BI41" s="379"/>
      <c r="BJ41" s="379"/>
    </row>
    <row r="42" spans="2:62" ht="12.9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2:62" ht="15.75" customHeight="1">
      <c r="B43" s="381" t="s">
        <v>1</v>
      </c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 t="s">
        <v>857</v>
      </c>
      <c r="O43" s="382"/>
      <c r="P43" s="382"/>
      <c r="Q43" s="382"/>
      <c r="R43" s="382"/>
      <c r="S43" s="382"/>
      <c r="T43" s="382"/>
      <c r="U43" s="500" t="s">
        <v>856</v>
      </c>
      <c r="V43" s="382"/>
      <c r="W43" s="382"/>
      <c r="X43" s="382"/>
      <c r="Y43" s="382"/>
      <c r="Z43" s="382"/>
      <c r="AA43" s="382"/>
      <c r="AB43" s="500" t="s">
        <v>855</v>
      </c>
      <c r="AC43" s="382"/>
      <c r="AD43" s="382"/>
      <c r="AE43" s="382"/>
      <c r="AF43" s="382"/>
      <c r="AG43" s="382"/>
      <c r="AH43" s="382"/>
      <c r="AI43" s="500" t="s">
        <v>854</v>
      </c>
      <c r="AJ43" s="382"/>
      <c r="AK43" s="382"/>
      <c r="AL43" s="382"/>
      <c r="AM43" s="382"/>
      <c r="AN43" s="382"/>
      <c r="AO43" s="382"/>
      <c r="AP43" s="500" t="s">
        <v>853</v>
      </c>
      <c r="AQ43" s="382"/>
      <c r="AR43" s="382"/>
      <c r="AS43" s="382"/>
      <c r="AT43" s="382"/>
      <c r="AU43" s="382"/>
      <c r="AV43" s="382"/>
      <c r="AW43" s="500" t="s">
        <v>852</v>
      </c>
      <c r="AX43" s="382"/>
      <c r="AY43" s="382"/>
      <c r="AZ43" s="382"/>
      <c r="BA43" s="382"/>
      <c r="BB43" s="382"/>
      <c r="BC43" s="382"/>
      <c r="BD43" s="500" t="s">
        <v>851</v>
      </c>
      <c r="BE43" s="382"/>
      <c r="BF43" s="382"/>
      <c r="BG43" s="382"/>
      <c r="BH43" s="382"/>
      <c r="BI43" s="382"/>
      <c r="BJ43" s="406"/>
    </row>
    <row r="44" spans="2:62" ht="15.75" customHeight="1">
      <c r="B44" s="383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  <c r="AV44" s="384"/>
      <c r="AW44" s="384"/>
      <c r="AX44" s="384"/>
      <c r="AY44" s="384"/>
      <c r="AZ44" s="384"/>
      <c r="BA44" s="384"/>
      <c r="BB44" s="384"/>
      <c r="BC44" s="384"/>
      <c r="BD44" s="384"/>
      <c r="BE44" s="384"/>
      <c r="BF44" s="384"/>
      <c r="BG44" s="384"/>
      <c r="BH44" s="384"/>
      <c r="BI44" s="384"/>
      <c r="BJ44" s="407"/>
    </row>
    <row r="45" spans="2:62">
      <c r="M45" s="21"/>
    </row>
    <row r="46" spans="2:62">
      <c r="C46" s="389" t="s">
        <v>7</v>
      </c>
      <c r="D46" s="389"/>
      <c r="E46" s="389"/>
      <c r="F46" s="389"/>
      <c r="G46" s="389">
        <v>20</v>
      </c>
      <c r="H46" s="389"/>
      <c r="I46" s="389" t="s">
        <v>1</v>
      </c>
      <c r="J46" s="389"/>
      <c r="K46" s="389"/>
      <c r="L46" s="389"/>
      <c r="M46" s="22"/>
      <c r="N46" s="823">
        <v>19982</v>
      </c>
      <c r="O46" s="823"/>
      <c r="P46" s="823"/>
      <c r="Q46" s="823"/>
      <c r="R46" s="823"/>
      <c r="S46" s="823"/>
      <c r="T46" s="823"/>
      <c r="U46" s="823">
        <v>285</v>
      </c>
      <c r="V46" s="823"/>
      <c r="W46" s="823"/>
      <c r="X46" s="823"/>
      <c r="Y46" s="823"/>
      <c r="Z46" s="823"/>
      <c r="AA46" s="823"/>
      <c r="AB46" s="823">
        <v>63</v>
      </c>
      <c r="AC46" s="823"/>
      <c r="AD46" s="823"/>
      <c r="AE46" s="823"/>
      <c r="AF46" s="823"/>
      <c r="AG46" s="823"/>
      <c r="AH46" s="823"/>
      <c r="AI46" s="823">
        <v>22408</v>
      </c>
      <c r="AJ46" s="823"/>
      <c r="AK46" s="823"/>
      <c r="AL46" s="823"/>
      <c r="AM46" s="823"/>
      <c r="AN46" s="823"/>
      <c r="AO46" s="823"/>
      <c r="AP46" s="823">
        <v>1203</v>
      </c>
      <c r="AQ46" s="823"/>
      <c r="AR46" s="823"/>
      <c r="AS46" s="823"/>
      <c r="AT46" s="823"/>
      <c r="AU46" s="823"/>
      <c r="AV46" s="823"/>
      <c r="AW46" s="823">
        <v>42374</v>
      </c>
      <c r="AX46" s="823"/>
      <c r="AY46" s="823"/>
      <c r="AZ46" s="823"/>
      <c r="BA46" s="823"/>
      <c r="BB46" s="823"/>
      <c r="BC46" s="823"/>
      <c r="BD46" s="823">
        <v>637</v>
      </c>
      <c r="BE46" s="823"/>
      <c r="BF46" s="823"/>
      <c r="BG46" s="823"/>
      <c r="BH46" s="823"/>
      <c r="BI46" s="823"/>
      <c r="BJ46" s="823"/>
    </row>
    <row r="47" spans="2:62">
      <c r="G47" s="389">
        <v>21</v>
      </c>
      <c r="H47" s="389"/>
      <c r="M47" s="22"/>
      <c r="N47" s="823">
        <v>20801</v>
      </c>
      <c r="O47" s="823"/>
      <c r="P47" s="823"/>
      <c r="Q47" s="823"/>
      <c r="R47" s="823"/>
      <c r="S47" s="823"/>
      <c r="T47" s="823"/>
      <c r="U47" s="823">
        <v>312</v>
      </c>
      <c r="V47" s="823"/>
      <c r="W47" s="823"/>
      <c r="X47" s="823"/>
      <c r="Y47" s="823"/>
      <c r="Z47" s="823"/>
      <c r="AA47" s="823"/>
      <c r="AB47" s="823">
        <v>62</v>
      </c>
      <c r="AC47" s="823"/>
      <c r="AD47" s="823"/>
      <c r="AE47" s="823"/>
      <c r="AF47" s="823"/>
      <c r="AG47" s="823"/>
      <c r="AH47" s="823"/>
      <c r="AI47" s="823">
        <v>22991</v>
      </c>
      <c r="AJ47" s="823"/>
      <c r="AK47" s="823"/>
      <c r="AL47" s="823"/>
      <c r="AM47" s="823"/>
      <c r="AN47" s="823"/>
      <c r="AO47" s="823"/>
      <c r="AP47" s="823">
        <v>1308</v>
      </c>
      <c r="AQ47" s="823"/>
      <c r="AR47" s="823"/>
      <c r="AS47" s="823"/>
      <c r="AT47" s="823"/>
      <c r="AU47" s="823"/>
      <c r="AV47" s="823"/>
      <c r="AW47" s="823">
        <v>44234</v>
      </c>
      <c r="AX47" s="823"/>
      <c r="AY47" s="823"/>
      <c r="AZ47" s="823"/>
      <c r="BA47" s="823"/>
      <c r="BB47" s="823"/>
      <c r="BC47" s="823"/>
      <c r="BD47" s="823">
        <v>693</v>
      </c>
      <c r="BE47" s="823"/>
      <c r="BF47" s="823"/>
      <c r="BG47" s="823"/>
      <c r="BH47" s="823"/>
      <c r="BI47" s="823"/>
      <c r="BJ47" s="823"/>
    </row>
    <row r="48" spans="2:62">
      <c r="G48" s="389">
        <v>22</v>
      </c>
      <c r="H48" s="389"/>
      <c r="M48" s="22"/>
      <c r="N48" s="823">
        <v>21233</v>
      </c>
      <c r="O48" s="823"/>
      <c r="P48" s="823"/>
      <c r="Q48" s="823"/>
      <c r="R48" s="823"/>
      <c r="S48" s="823"/>
      <c r="T48" s="823"/>
      <c r="U48" s="823">
        <v>288</v>
      </c>
      <c r="V48" s="823"/>
      <c r="W48" s="823"/>
      <c r="X48" s="823"/>
      <c r="Y48" s="823"/>
      <c r="Z48" s="823"/>
      <c r="AA48" s="823"/>
      <c r="AB48" s="823">
        <v>66</v>
      </c>
      <c r="AC48" s="823"/>
      <c r="AD48" s="823"/>
      <c r="AE48" s="823"/>
      <c r="AF48" s="823"/>
      <c r="AG48" s="823"/>
      <c r="AH48" s="823"/>
      <c r="AI48" s="823">
        <v>22606</v>
      </c>
      <c r="AJ48" s="823"/>
      <c r="AK48" s="823"/>
      <c r="AL48" s="823"/>
      <c r="AM48" s="823"/>
      <c r="AN48" s="823"/>
      <c r="AO48" s="823"/>
      <c r="AP48" s="823">
        <v>1149</v>
      </c>
      <c r="AQ48" s="823"/>
      <c r="AR48" s="823"/>
      <c r="AS48" s="823"/>
      <c r="AT48" s="823"/>
      <c r="AU48" s="823"/>
      <c r="AV48" s="823"/>
      <c r="AW48" s="823">
        <v>34399</v>
      </c>
      <c r="AX48" s="823"/>
      <c r="AY48" s="823"/>
      <c r="AZ48" s="823"/>
      <c r="BA48" s="823"/>
      <c r="BB48" s="823"/>
      <c r="BC48" s="823"/>
      <c r="BD48" s="823">
        <v>704</v>
      </c>
      <c r="BE48" s="823"/>
      <c r="BF48" s="823"/>
      <c r="BG48" s="823"/>
      <c r="BH48" s="823"/>
      <c r="BI48" s="823"/>
      <c r="BJ48" s="823"/>
    </row>
    <row r="49" spans="2:62">
      <c r="G49" s="389">
        <v>23</v>
      </c>
      <c r="H49" s="389"/>
      <c r="M49" s="22"/>
      <c r="N49" s="823">
        <v>21176</v>
      </c>
      <c r="O49" s="823"/>
      <c r="P49" s="823"/>
      <c r="Q49" s="823"/>
      <c r="R49" s="823"/>
      <c r="S49" s="823"/>
      <c r="T49" s="823"/>
      <c r="U49" s="823">
        <v>310</v>
      </c>
      <c r="V49" s="823"/>
      <c r="W49" s="823"/>
      <c r="X49" s="823"/>
      <c r="Y49" s="823"/>
      <c r="Z49" s="823"/>
      <c r="AA49" s="823"/>
      <c r="AB49" s="823">
        <v>70</v>
      </c>
      <c r="AC49" s="823"/>
      <c r="AD49" s="823"/>
      <c r="AE49" s="823"/>
      <c r="AF49" s="823"/>
      <c r="AG49" s="823"/>
      <c r="AH49" s="823"/>
      <c r="AI49" s="823">
        <v>20849</v>
      </c>
      <c r="AJ49" s="823"/>
      <c r="AK49" s="823"/>
      <c r="AL49" s="823"/>
      <c r="AM49" s="823"/>
      <c r="AN49" s="823"/>
      <c r="AO49" s="823"/>
      <c r="AP49" s="823">
        <v>1241</v>
      </c>
      <c r="AQ49" s="823"/>
      <c r="AR49" s="823"/>
      <c r="AS49" s="823"/>
      <c r="AT49" s="823"/>
      <c r="AU49" s="823"/>
      <c r="AV49" s="823"/>
      <c r="AW49" s="823">
        <v>36024</v>
      </c>
      <c r="AX49" s="823"/>
      <c r="AY49" s="823"/>
      <c r="AZ49" s="823"/>
      <c r="BA49" s="823"/>
      <c r="BB49" s="823"/>
      <c r="BC49" s="823"/>
      <c r="BD49" s="823">
        <v>665</v>
      </c>
      <c r="BE49" s="823"/>
      <c r="BF49" s="823"/>
      <c r="BG49" s="823"/>
      <c r="BH49" s="823"/>
      <c r="BI49" s="823"/>
      <c r="BJ49" s="823"/>
    </row>
    <row r="50" spans="2:62">
      <c r="G50" s="807">
        <v>24</v>
      </c>
      <c r="H50" s="807"/>
      <c r="M50" s="22"/>
      <c r="N50" s="825">
        <v>22396</v>
      </c>
      <c r="O50" s="825"/>
      <c r="P50" s="825"/>
      <c r="Q50" s="825"/>
      <c r="R50" s="825"/>
      <c r="S50" s="825"/>
      <c r="T50" s="825"/>
      <c r="U50" s="825">
        <v>307</v>
      </c>
      <c r="V50" s="825"/>
      <c r="W50" s="825"/>
      <c r="X50" s="825"/>
      <c r="Y50" s="825"/>
      <c r="Z50" s="825"/>
      <c r="AA50" s="825"/>
      <c r="AB50" s="825">
        <v>69</v>
      </c>
      <c r="AC50" s="825"/>
      <c r="AD50" s="825"/>
      <c r="AE50" s="825"/>
      <c r="AF50" s="825"/>
      <c r="AG50" s="825"/>
      <c r="AH50" s="825"/>
      <c r="AI50" s="825">
        <v>21600</v>
      </c>
      <c r="AJ50" s="825"/>
      <c r="AK50" s="825"/>
      <c r="AL50" s="825"/>
      <c r="AM50" s="825"/>
      <c r="AN50" s="825"/>
      <c r="AO50" s="825"/>
      <c r="AP50" s="825">
        <v>1295</v>
      </c>
      <c r="AQ50" s="825"/>
      <c r="AR50" s="825"/>
      <c r="AS50" s="825"/>
      <c r="AT50" s="825"/>
      <c r="AU50" s="825"/>
      <c r="AV50" s="825"/>
      <c r="AW50" s="825">
        <v>29282</v>
      </c>
      <c r="AX50" s="825"/>
      <c r="AY50" s="825"/>
      <c r="AZ50" s="825"/>
      <c r="BA50" s="825"/>
      <c r="BB50" s="825"/>
      <c r="BC50" s="825"/>
      <c r="BD50" s="825">
        <v>706</v>
      </c>
      <c r="BE50" s="825"/>
      <c r="BF50" s="825"/>
      <c r="BG50" s="825"/>
      <c r="BH50" s="825"/>
      <c r="BI50" s="825"/>
      <c r="BJ50" s="825"/>
    </row>
    <row r="51" spans="2:6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2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2:62">
      <c r="B52" s="410" t="s">
        <v>9</v>
      </c>
      <c r="C52" s="410"/>
      <c r="D52" s="410"/>
      <c r="E52" s="297" t="s">
        <v>827</v>
      </c>
      <c r="F52" s="2" t="s">
        <v>850</v>
      </c>
    </row>
  </sheetData>
  <mergeCells count="214">
    <mergeCell ref="B52:D52"/>
    <mergeCell ref="U50:AA50"/>
    <mergeCell ref="AB50:AH50"/>
    <mergeCell ref="AI50:AO50"/>
    <mergeCell ref="AP50:AV50"/>
    <mergeCell ref="AW50:BC50"/>
    <mergeCell ref="G50:H50"/>
    <mergeCell ref="N49:T49"/>
    <mergeCell ref="N50:T50"/>
    <mergeCell ref="BD48:BJ48"/>
    <mergeCell ref="BD50:BJ50"/>
    <mergeCell ref="U49:AA49"/>
    <mergeCell ref="AB49:AH49"/>
    <mergeCell ref="AI49:AO49"/>
    <mergeCell ref="AP49:AV49"/>
    <mergeCell ref="BD49:BJ49"/>
    <mergeCell ref="AP46:AV46"/>
    <mergeCell ref="AW46:BC46"/>
    <mergeCell ref="BD46:BJ46"/>
    <mergeCell ref="U47:AA47"/>
    <mergeCell ref="AB47:AH47"/>
    <mergeCell ref="AI47:AO47"/>
    <mergeCell ref="AP47:AV47"/>
    <mergeCell ref="AW47:BC47"/>
    <mergeCell ref="G48:H48"/>
    <mergeCell ref="N47:T47"/>
    <mergeCell ref="N48:T48"/>
    <mergeCell ref="U48:AA48"/>
    <mergeCell ref="AB48:AH48"/>
    <mergeCell ref="AI48:AO48"/>
    <mergeCell ref="AP48:AV48"/>
    <mergeCell ref="AW48:BC48"/>
    <mergeCell ref="AW49:BC49"/>
    <mergeCell ref="G49:H49"/>
    <mergeCell ref="BE23:BJ23"/>
    <mergeCell ref="C46:F46"/>
    <mergeCell ref="I46:L46"/>
    <mergeCell ref="G46:H46"/>
    <mergeCell ref="N46:T46"/>
    <mergeCell ref="U46:AA46"/>
    <mergeCell ref="AB46:AH46"/>
    <mergeCell ref="AI46:AO46"/>
    <mergeCell ref="BD47:BJ47"/>
    <mergeCell ref="G47:H47"/>
    <mergeCell ref="B37:D37"/>
    <mergeCell ref="T33:Z33"/>
    <mergeCell ref="AA33:AG33"/>
    <mergeCell ref="T34:Z34"/>
    <mergeCell ref="AA34:AG34"/>
    <mergeCell ref="T35:Z35"/>
    <mergeCell ref="AA35:AG35"/>
    <mergeCell ref="M22:R22"/>
    <mergeCell ref="AQ21:AW21"/>
    <mergeCell ref="B41:BJ41"/>
    <mergeCell ref="B43:M44"/>
    <mergeCell ref="N43:T44"/>
    <mergeCell ref="U43:AA44"/>
    <mergeCell ref="AB43:AH44"/>
    <mergeCell ref="AI43:AO44"/>
    <mergeCell ref="AP43:AV44"/>
    <mergeCell ref="AW43:BC44"/>
    <mergeCell ref="BD43:BJ44"/>
    <mergeCell ref="BE21:BJ21"/>
    <mergeCell ref="BE22:BJ22"/>
    <mergeCell ref="BE25:BJ25"/>
    <mergeCell ref="BE24:BJ24"/>
    <mergeCell ref="AX21:BD21"/>
    <mergeCell ref="AX25:BD25"/>
    <mergeCell ref="AA28:AG29"/>
    <mergeCell ref="AE17:BJ17"/>
    <mergeCell ref="S25:X25"/>
    <mergeCell ref="Y25:AD25"/>
    <mergeCell ref="AE25:AJ25"/>
    <mergeCell ref="AK25:AP25"/>
    <mergeCell ref="AQ22:AW22"/>
    <mergeCell ref="AQ23:AW23"/>
    <mergeCell ref="AQ24:AW24"/>
    <mergeCell ref="AQ18:BJ18"/>
    <mergeCell ref="Y24:AD24"/>
    <mergeCell ref="AE24:AJ24"/>
    <mergeCell ref="AK24:AP24"/>
    <mergeCell ref="AQ19:AW19"/>
    <mergeCell ref="AX19:BD19"/>
    <mergeCell ref="BE19:BJ19"/>
    <mergeCell ref="AK19:AP19"/>
    <mergeCell ref="AX22:BD22"/>
    <mergeCell ref="AX24:BD24"/>
    <mergeCell ref="F33:H33"/>
    <mergeCell ref="F34:H34"/>
    <mergeCell ref="F35:H35"/>
    <mergeCell ref="M18:R19"/>
    <mergeCell ref="S18:X19"/>
    <mergeCell ref="M23:R23"/>
    <mergeCell ref="M24:R24"/>
    <mergeCell ref="M25:R25"/>
    <mergeCell ref="S22:X22"/>
    <mergeCell ref="AQ25:AW25"/>
    <mergeCell ref="Y22:AD22"/>
    <mergeCell ref="AE22:AJ22"/>
    <mergeCell ref="AK22:AP22"/>
    <mergeCell ref="AK21:AP21"/>
    <mergeCell ref="AX23:BD23"/>
    <mergeCell ref="AA31:AG31"/>
    <mergeCell ref="T32:Z32"/>
    <mergeCell ref="AA32:AG32"/>
    <mergeCell ref="C31:E31"/>
    <mergeCell ref="F31:H31"/>
    <mergeCell ref="I31:K31"/>
    <mergeCell ref="C21:E21"/>
    <mergeCell ref="F21:H21"/>
    <mergeCell ref="M33:S33"/>
    <mergeCell ref="M34:S34"/>
    <mergeCell ref="M35:S35"/>
    <mergeCell ref="T31:Z31"/>
    <mergeCell ref="F22:H22"/>
    <mergeCell ref="F23:H23"/>
    <mergeCell ref="F24:H24"/>
    <mergeCell ref="F25:H25"/>
    <mergeCell ref="B27:L29"/>
    <mergeCell ref="F32:H32"/>
    <mergeCell ref="S23:X23"/>
    <mergeCell ref="M29:S29"/>
    <mergeCell ref="T29:Z29"/>
    <mergeCell ref="M28:Z28"/>
    <mergeCell ref="M31:S31"/>
    <mergeCell ref="M32:S32"/>
    <mergeCell ref="M27:AG27"/>
    <mergeCell ref="Y23:AD23"/>
    <mergeCell ref="AE23:AJ23"/>
    <mergeCell ref="AK23:AP23"/>
    <mergeCell ref="S24:X24"/>
    <mergeCell ref="F15:H15"/>
    <mergeCell ref="M12:Q12"/>
    <mergeCell ref="R12:V12"/>
    <mergeCell ref="AQ13:AU13"/>
    <mergeCell ref="W12:AA12"/>
    <mergeCell ref="AB12:AF12"/>
    <mergeCell ref="AG12:AK12"/>
    <mergeCell ref="AL12:AP12"/>
    <mergeCell ref="I21:K21"/>
    <mergeCell ref="Y18:AD19"/>
    <mergeCell ref="AE19:AJ19"/>
    <mergeCell ref="M21:R21"/>
    <mergeCell ref="S21:X21"/>
    <mergeCell ref="Y21:AD21"/>
    <mergeCell ref="AE21:AJ21"/>
    <mergeCell ref="AE18:AP18"/>
    <mergeCell ref="B17:L19"/>
    <mergeCell ref="M17:AD17"/>
    <mergeCell ref="AB13:AF13"/>
    <mergeCell ref="AG13:AK13"/>
    <mergeCell ref="AL13:AP13"/>
    <mergeCell ref="W15:AA15"/>
    <mergeCell ref="AB15:AF15"/>
    <mergeCell ref="AG15:AK15"/>
    <mergeCell ref="AL15:AP15"/>
    <mergeCell ref="AQ12:AU12"/>
    <mergeCell ref="M13:Q13"/>
    <mergeCell ref="AQ15:AU15"/>
    <mergeCell ref="M14:Q14"/>
    <mergeCell ref="R14:V14"/>
    <mergeCell ref="W14:AA14"/>
    <mergeCell ref="AB14:AF14"/>
    <mergeCell ref="AG14:AK14"/>
    <mergeCell ref="AL14:AP14"/>
    <mergeCell ref="AQ14:AU14"/>
    <mergeCell ref="A1:S2"/>
    <mergeCell ref="BF12:BJ12"/>
    <mergeCell ref="BF13:BJ13"/>
    <mergeCell ref="BF14:BJ14"/>
    <mergeCell ref="BF15:BJ15"/>
    <mergeCell ref="AV11:AZ11"/>
    <mergeCell ref="AV12:AZ12"/>
    <mergeCell ref="AV13:AZ13"/>
    <mergeCell ref="AV14:AZ14"/>
    <mergeCell ref="AV15:AZ15"/>
    <mergeCell ref="BA9:BE9"/>
    <mergeCell ref="BF9:BJ9"/>
    <mergeCell ref="AV8:BJ8"/>
    <mergeCell ref="M7:AK7"/>
    <mergeCell ref="AL7:BJ7"/>
    <mergeCell ref="AG11:AK11"/>
    <mergeCell ref="AL11:AP11"/>
    <mergeCell ref="AQ11:AU11"/>
    <mergeCell ref="BA11:BE11"/>
    <mergeCell ref="AB11:AF11"/>
    <mergeCell ref="F12:H12"/>
    <mergeCell ref="F13:H13"/>
    <mergeCell ref="F14:H14"/>
    <mergeCell ref="R13:V13"/>
    <mergeCell ref="BA12:BE12"/>
    <mergeCell ref="BA13:BE13"/>
    <mergeCell ref="BA14:BE14"/>
    <mergeCell ref="BA15:BE15"/>
    <mergeCell ref="B5:BJ5"/>
    <mergeCell ref="B7:L9"/>
    <mergeCell ref="M8:Q9"/>
    <mergeCell ref="R8:V9"/>
    <mergeCell ref="W8:AA9"/>
    <mergeCell ref="BF11:BJ11"/>
    <mergeCell ref="W13:AA13"/>
    <mergeCell ref="AV9:AZ9"/>
    <mergeCell ref="AB8:AF9"/>
    <mergeCell ref="AG8:AK9"/>
    <mergeCell ref="AL8:AP9"/>
    <mergeCell ref="AQ8:AU9"/>
    <mergeCell ref="C11:E11"/>
    <mergeCell ref="I11:K11"/>
    <mergeCell ref="F11:H11"/>
    <mergeCell ref="M11:Q11"/>
    <mergeCell ref="R11:V11"/>
    <mergeCell ref="W11:AA11"/>
    <mergeCell ref="M15:Q15"/>
    <mergeCell ref="R15:V15"/>
  </mergeCells>
  <phoneticPr fontId="2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H61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86" ht="11.1" customHeight="1">
      <c r="A1" s="376">
        <f>'185'!AS1+1</f>
        <v>186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</row>
    <row r="2" spans="1:86" ht="11.1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86" ht="11.1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86" ht="11.1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86" ht="18" customHeight="1">
      <c r="B5" s="379" t="s">
        <v>387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</row>
    <row r="6" spans="1:86" ht="12.95" customHeight="1">
      <c r="B6" s="380" t="s">
        <v>364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  <c r="BJ6" s="380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86" ht="12.95" customHeight="1">
      <c r="BJ7" s="20" t="s">
        <v>458</v>
      </c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86" ht="13.5" customHeight="1">
      <c r="B8" s="411" t="s">
        <v>1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 t="s">
        <v>18</v>
      </c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 t="s">
        <v>365</v>
      </c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  <c r="AT8" s="386"/>
      <c r="AU8" s="386" t="s">
        <v>366</v>
      </c>
      <c r="AV8" s="386"/>
      <c r="AW8" s="386"/>
      <c r="AX8" s="386"/>
      <c r="AY8" s="386"/>
      <c r="AZ8" s="386"/>
      <c r="BA8" s="386"/>
      <c r="BB8" s="386"/>
      <c r="BC8" s="386"/>
      <c r="BD8" s="386"/>
      <c r="BE8" s="386"/>
      <c r="BF8" s="386"/>
      <c r="BG8" s="386"/>
      <c r="BH8" s="386"/>
      <c r="BI8" s="386"/>
      <c r="BJ8" s="387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</row>
    <row r="9" spans="1:86" ht="13.5" customHeight="1">
      <c r="B9" s="412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 t="s">
        <v>367</v>
      </c>
      <c r="P9" s="385"/>
      <c r="Q9" s="385"/>
      <c r="R9" s="385"/>
      <c r="S9" s="385"/>
      <c r="T9" s="385"/>
      <c r="U9" s="385"/>
      <c r="V9" s="385"/>
      <c r="W9" s="385" t="s">
        <v>368</v>
      </c>
      <c r="X9" s="385"/>
      <c r="Y9" s="385"/>
      <c r="Z9" s="385"/>
      <c r="AA9" s="385"/>
      <c r="AB9" s="385"/>
      <c r="AC9" s="385"/>
      <c r="AD9" s="385"/>
      <c r="AE9" s="385" t="s">
        <v>367</v>
      </c>
      <c r="AF9" s="385"/>
      <c r="AG9" s="385"/>
      <c r="AH9" s="385"/>
      <c r="AI9" s="385"/>
      <c r="AJ9" s="385"/>
      <c r="AK9" s="385"/>
      <c r="AL9" s="385"/>
      <c r="AM9" s="385" t="s">
        <v>368</v>
      </c>
      <c r="AN9" s="385"/>
      <c r="AO9" s="385"/>
      <c r="AP9" s="385"/>
      <c r="AQ9" s="385"/>
      <c r="AR9" s="385"/>
      <c r="AS9" s="385"/>
      <c r="AT9" s="385"/>
      <c r="AU9" s="385" t="s">
        <v>367</v>
      </c>
      <c r="AV9" s="385"/>
      <c r="AW9" s="385"/>
      <c r="AX9" s="385"/>
      <c r="AY9" s="385"/>
      <c r="AZ9" s="385"/>
      <c r="BA9" s="385"/>
      <c r="BB9" s="385"/>
      <c r="BC9" s="385" t="s">
        <v>368</v>
      </c>
      <c r="BD9" s="385"/>
      <c r="BE9" s="385"/>
      <c r="BF9" s="385"/>
      <c r="BG9" s="385"/>
      <c r="BH9" s="385"/>
      <c r="BI9" s="385"/>
      <c r="BJ9" s="388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</row>
    <row r="10" spans="1:86" ht="13.5" customHeight="1">
      <c r="N10" s="21"/>
      <c r="AB10" s="417" t="s">
        <v>157</v>
      </c>
      <c r="AC10" s="417"/>
      <c r="AD10" s="417"/>
      <c r="AR10" s="417" t="s">
        <v>157</v>
      </c>
      <c r="AS10" s="417"/>
      <c r="AT10" s="417"/>
      <c r="BH10" s="417" t="s">
        <v>157</v>
      </c>
      <c r="BI10" s="417"/>
      <c r="BJ10" s="417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</row>
    <row r="11" spans="1:86" ht="13.5" customHeight="1">
      <c r="N11" s="22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</row>
    <row r="12" spans="1:86" ht="13.5" customHeight="1">
      <c r="C12" s="389" t="s">
        <v>7</v>
      </c>
      <c r="D12" s="389"/>
      <c r="E12" s="389"/>
      <c r="F12" s="389"/>
      <c r="G12" s="380">
        <v>20</v>
      </c>
      <c r="H12" s="380"/>
      <c r="I12" s="380"/>
      <c r="J12" s="389" t="s">
        <v>1</v>
      </c>
      <c r="K12" s="389"/>
      <c r="L12" s="389"/>
      <c r="M12" s="389"/>
      <c r="N12" s="22"/>
      <c r="O12" s="390">
        <v>386</v>
      </c>
      <c r="P12" s="390"/>
      <c r="Q12" s="390"/>
      <c r="R12" s="390"/>
      <c r="S12" s="390"/>
      <c r="T12" s="390"/>
      <c r="U12" s="390"/>
      <c r="V12" s="390"/>
      <c r="W12" s="390">
        <v>54912</v>
      </c>
      <c r="X12" s="390"/>
      <c r="Y12" s="390"/>
      <c r="Z12" s="390"/>
      <c r="AA12" s="390"/>
      <c r="AB12" s="390"/>
      <c r="AC12" s="390"/>
      <c r="AD12" s="390"/>
      <c r="AE12" s="390">
        <v>319</v>
      </c>
      <c r="AF12" s="390"/>
      <c r="AG12" s="390"/>
      <c r="AH12" s="390"/>
      <c r="AI12" s="390"/>
      <c r="AJ12" s="390"/>
      <c r="AK12" s="390"/>
      <c r="AL12" s="390"/>
      <c r="AM12" s="390">
        <v>37146</v>
      </c>
      <c r="AN12" s="390"/>
      <c r="AO12" s="390"/>
      <c r="AP12" s="390"/>
      <c r="AQ12" s="390"/>
      <c r="AR12" s="390"/>
      <c r="AS12" s="390"/>
      <c r="AT12" s="390"/>
      <c r="AU12" s="390">
        <v>67</v>
      </c>
      <c r="AV12" s="390"/>
      <c r="AW12" s="390"/>
      <c r="AX12" s="390"/>
      <c r="AY12" s="390"/>
      <c r="AZ12" s="390"/>
      <c r="BA12" s="390"/>
      <c r="BB12" s="390"/>
      <c r="BC12" s="390">
        <v>17766</v>
      </c>
      <c r="BD12" s="390"/>
      <c r="BE12" s="390"/>
      <c r="BF12" s="390"/>
      <c r="BG12" s="390"/>
      <c r="BH12" s="390"/>
      <c r="BI12" s="390"/>
      <c r="BJ12" s="390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</row>
    <row r="13" spans="1:86" ht="13.5" customHeight="1">
      <c r="G13" s="380">
        <v>21</v>
      </c>
      <c r="H13" s="380"/>
      <c r="I13" s="380"/>
      <c r="N13" s="22"/>
      <c r="O13" s="402">
        <v>571</v>
      </c>
      <c r="P13" s="402"/>
      <c r="Q13" s="402"/>
      <c r="R13" s="402"/>
      <c r="S13" s="402"/>
      <c r="T13" s="402"/>
      <c r="U13" s="402"/>
      <c r="V13" s="402"/>
      <c r="W13" s="402">
        <v>79350</v>
      </c>
      <c r="X13" s="402"/>
      <c r="Y13" s="402"/>
      <c r="Z13" s="402"/>
      <c r="AA13" s="402"/>
      <c r="AB13" s="402"/>
      <c r="AC13" s="402"/>
      <c r="AD13" s="402"/>
      <c r="AE13" s="402">
        <v>477</v>
      </c>
      <c r="AF13" s="402"/>
      <c r="AG13" s="402"/>
      <c r="AH13" s="402"/>
      <c r="AI13" s="402"/>
      <c r="AJ13" s="402"/>
      <c r="AK13" s="402"/>
      <c r="AL13" s="402"/>
      <c r="AM13" s="402">
        <v>55760</v>
      </c>
      <c r="AN13" s="402"/>
      <c r="AO13" s="402"/>
      <c r="AP13" s="402"/>
      <c r="AQ13" s="402"/>
      <c r="AR13" s="402"/>
      <c r="AS13" s="402"/>
      <c r="AT13" s="402"/>
      <c r="AU13" s="402">
        <v>94</v>
      </c>
      <c r="AV13" s="402"/>
      <c r="AW13" s="402"/>
      <c r="AX13" s="402"/>
      <c r="AY13" s="402"/>
      <c r="AZ13" s="402"/>
      <c r="BA13" s="402"/>
      <c r="BB13" s="402"/>
      <c r="BC13" s="402">
        <v>23590</v>
      </c>
      <c r="BD13" s="402"/>
      <c r="BE13" s="402"/>
      <c r="BF13" s="402"/>
      <c r="BG13" s="402"/>
      <c r="BH13" s="402"/>
      <c r="BI13" s="402"/>
      <c r="BJ13" s="402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</row>
    <row r="14" spans="1:86" ht="13.5" customHeight="1">
      <c r="G14" s="380">
        <v>22</v>
      </c>
      <c r="H14" s="380"/>
      <c r="I14" s="380"/>
      <c r="N14" s="22"/>
      <c r="O14" s="390">
        <f>(AE14+AU14)</f>
        <v>484</v>
      </c>
      <c r="P14" s="390"/>
      <c r="Q14" s="390"/>
      <c r="R14" s="390"/>
      <c r="S14" s="390"/>
      <c r="T14" s="390"/>
      <c r="U14" s="390"/>
      <c r="V14" s="390"/>
      <c r="W14" s="418">
        <f>(AM14+BC14)</f>
        <v>65362</v>
      </c>
      <c r="X14" s="418"/>
      <c r="Y14" s="418"/>
      <c r="Z14" s="418"/>
      <c r="AA14" s="418"/>
      <c r="AB14" s="418"/>
      <c r="AC14" s="418"/>
      <c r="AD14" s="418"/>
      <c r="AE14" s="418">
        <v>405</v>
      </c>
      <c r="AF14" s="418"/>
      <c r="AG14" s="418"/>
      <c r="AH14" s="418"/>
      <c r="AI14" s="418"/>
      <c r="AJ14" s="418"/>
      <c r="AK14" s="418"/>
      <c r="AL14" s="418"/>
      <c r="AM14" s="418">
        <v>47679</v>
      </c>
      <c r="AN14" s="418"/>
      <c r="AO14" s="418"/>
      <c r="AP14" s="418"/>
      <c r="AQ14" s="418"/>
      <c r="AR14" s="418"/>
      <c r="AS14" s="418"/>
      <c r="AT14" s="418"/>
      <c r="AU14" s="418">
        <v>79</v>
      </c>
      <c r="AV14" s="418"/>
      <c r="AW14" s="418"/>
      <c r="AX14" s="418"/>
      <c r="AY14" s="418"/>
      <c r="AZ14" s="418"/>
      <c r="BA14" s="418"/>
      <c r="BB14" s="418"/>
      <c r="BC14" s="418">
        <v>17683</v>
      </c>
      <c r="BD14" s="418"/>
      <c r="BE14" s="418"/>
      <c r="BF14" s="418"/>
      <c r="BG14" s="418"/>
      <c r="BH14" s="418"/>
      <c r="BI14" s="418"/>
      <c r="BJ14" s="418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</row>
    <row r="15" spans="1:86" ht="13.5" customHeight="1">
      <c r="G15" s="380">
        <v>23</v>
      </c>
      <c r="H15" s="380"/>
      <c r="I15" s="380"/>
      <c r="N15" s="22"/>
      <c r="O15" s="390">
        <f>(AE15+AU15)</f>
        <v>375</v>
      </c>
      <c r="P15" s="390"/>
      <c r="Q15" s="390"/>
      <c r="R15" s="390"/>
      <c r="S15" s="390"/>
      <c r="T15" s="390"/>
      <c r="U15" s="390"/>
      <c r="V15" s="390"/>
      <c r="W15" s="418">
        <f>(AM15+BC15)</f>
        <v>53890</v>
      </c>
      <c r="X15" s="418"/>
      <c r="Y15" s="418"/>
      <c r="Z15" s="418"/>
      <c r="AA15" s="418"/>
      <c r="AB15" s="418"/>
      <c r="AC15" s="418"/>
      <c r="AD15" s="418"/>
      <c r="AE15" s="418">
        <v>311</v>
      </c>
      <c r="AF15" s="418"/>
      <c r="AG15" s="418"/>
      <c r="AH15" s="418"/>
      <c r="AI15" s="418"/>
      <c r="AJ15" s="418"/>
      <c r="AK15" s="418"/>
      <c r="AL15" s="418"/>
      <c r="AM15" s="418">
        <v>38650</v>
      </c>
      <c r="AN15" s="418"/>
      <c r="AO15" s="418"/>
      <c r="AP15" s="418"/>
      <c r="AQ15" s="418"/>
      <c r="AR15" s="418"/>
      <c r="AS15" s="418"/>
      <c r="AT15" s="418"/>
      <c r="AU15" s="418">
        <v>64</v>
      </c>
      <c r="AV15" s="418"/>
      <c r="AW15" s="418"/>
      <c r="AX15" s="418"/>
      <c r="AY15" s="418"/>
      <c r="AZ15" s="418"/>
      <c r="BA15" s="418"/>
      <c r="BB15" s="418"/>
      <c r="BC15" s="418">
        <v>15240</v>
      </c>
      <c r="BD15" s="418"/>
      <c r="BE15" s="418"/>
      <c r="BF15" s="418"/>
      <c r="BG15" s="418"/>
      <c r="BH15" s="418"/>
      <c r="BI15" s="418"/>
      <c r="BJ15" s="418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</row>
    <row r="16" spans="1:86" ht="13.5" customHeight="1">
      <c r="G16" s="392">
        <v>24</v>
      </c>
      <c r="H16" s="392"/>
      <c r="I16" s="392"/>
      <c r="N16" s="6"/>
      <c r="O16" s="401">
        <f>SUM(AE16,AU16)</f>
        <v>362</v>
      </c>
      <c r="P16" s="397"/>
      <c r="Q16" s="397"/>
      <c r="R16" s="397"/>
      <c r="S16" s="397"/>
      <c r="T16" s="397"/>
      <c r="U16" s="397"/>
      <c r="V16" s="397"/>
      <c r="W16" s="397">
        <f>SUM(AM16,BC16)</f>
        <v>52282</v>
      </c>
      <c r="X16" s="397"/>
      <c r="Y16" s="397"/>
      <c r="Z16" s="397"/>
      <c r="AA16" s="397"/>
      <c r="AB16" s="397"/>
      <c r="AC16" s="397"/>
      <c r="AD16" s="397"/>
      <c r="AE16" s="397">
        <v>288</v>
      </c>
      <c r="AF16" s="397"/>
      <c r="AG16" s="397"/>
      <c r="AH16" s="397"/>
      <c r="AI16" s="397"/>
      <c r="AJ16" s="397"/>
      <c r="AK16" s="397"/>
      <c r="AL16" s="397"/>
      <c r="AM16" s="397">
        <v>33095</v>
      </c>
      <c r="AN16" s="397"/>
      <c r="AO16" s="397"/>
      <c r="AP16" s="397"/>
      <c r="AQ16" s="397"/>
      <c r="AR16" s="397"/>
      <c r="AS16" s="397"/>
      <c r="AT16" s="397"/>
      <c r="AU16" s="397">
        <v>74</v>
      </c>
      <c r="AV16" s="397"/>
      <c r="AW16" s="397"/>
      <c r="AX16" s="397"/>
      <c r="AY16" s="397"/>
      <c r="AZ16" s="397"/>
      <c r="BA16" s="397"/>
      <c r="BB16" s="397"/>
      <c r="BC16" s="397">
        <v>19187</v>
      </c>
      <c r="BD16" s="397"/>
      <c r="BE16" s="397"/>
      <c r="BF16" s="397"/>
      <c r="BG16" s="397"/>
      <c r="BH16" s="397"/>
      <c r="BI16" s="397"/>
      <c r="BJ16" s="397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</row>
    <row r="17" spans="2:86" ht="13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</row>
    <row r="18" spans="2:86" ht="13.5" customHeight="1">
      <c r="B18" s="419" t="s">
        <v>9</v>
      </c>
      <c r="C18" s="419"/>
      <c r="D18" s="419"/>
      <c r="E18" s="58" t="s">
        <v>369</v>
      </c>
      <c r="F18" s="2" t="s">
        <v>50</v>
      </c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</row>
    <row r="19" spans="2:86"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</row>
    <row r="20" spans="2:86" ht="12.95" customHeight="1">
      <c r="B20" s="380" t="s">
        <v>370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380"/>
      <c r="BE20" s="380"/>
      <c r="BF20" s="380"/>
      <c r="BG20" s="380"/>
      <c r="BH20" s="380"/>
      <c r="BI20" s="380"/>
      <c r="BJ20" s="380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</row>
    <row r="21" spans="2:86" ht="12.9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20" t="s">
        <v>458</v>
      </c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</row>
    <row r="22" spans="2:86" ht="13.5" customHeight="1">
      <c r="B22" s="411" t="s">
        <v>1</v>
      </c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 t="s">
        <v>18</v>
      </c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 t="s">
        <v>371</v>
      </c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/>
      <c r="BG22" s="386"/>
      <c r="BH22" s="386"/>
      <c r="BI22" s="386"/>
      <c r="BJ22" s="387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</row>
    <row r="23" spans="2:86" ht="13.5" customHeight="1">
      <c r="B23" s="412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 t="s">
        <v>367</v>
      </c>
      <c r="P23" s="385"/>
      <c r="Q23" s="385"/>
      <c r="R23" s="385"/>
      <c r="S23" s="385"/>
      <c r="T23" s="385"/>
      <c r="U23" s="385" t="s">
        <v>368</v>
      </c>
      <c r="V23" s="385"/>
      <c r="W23" s="385"/>
      <c r="X23" s="385"/>
      <c r="Y23" s="385"/>
      <c r="Z23" s="385"/>
      <c r="AA23" s="385" t="s">
        <v>372</v>
      </c>
      <c r="AB23" s="385"/>
      <c r="AC23" s="385"/>
      <c r="AD23" s="385"/>
      <c r="AE23" s="385"/>
      <c r="AF23" s="385"/>
      <c r="AG23" s="385" t="s">
        <v>373</v>
      </c>
      <c r="AH23" s="385"/>
      <c r="AI23" s="385"/>
      <c r="AJ23" s="385"/>
      <c r="AK23" s="385"/>
      <c r="AL23" s="385"/>
      <c r="AM23" s="385" t="s">
        <v>374</v>
      </c>
      <c r="AN23" s="385"/>
      <c r="AO23" s="385"/>
      <c r="AP23" s="385"/>
      <c r="AQ23" s="385"/>
      <c r="AR23" s="385"/>
      <c r="AS23" s="385" t="s">
        <v>375</v>
      </c>
      <c r="AT23" s="385"/>
      <c r="AU23" s="385"/>
      <c r="AV23" s="385"/>
      <c r="AW23" s="385"/>
      <c r="AX23" s="385"/>
      <c r="AY23" s="385" t="s">
        <v>376</v>
      </c>
      <c r="AZ23" s="385"/>
      <c r="BA23" s="385"/>
      <c r="BB23" s="385"/>
      <c r="BC23" s="385"/>
      <c r="BD23" s="388"/>
      <c r="BE23" s="385" t="s">
        <v>196</v>
      </c>
      <c r="BF23" s="385"/>
      <c r="BG23" s="385"/>
      <c r="BH23" s="385"/>
      <c r="BI23" s="385"/>
      <c r="BJ23" s="388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</row>
    <row r="24" spans="2:86" ht="13.5" customHeight="1">
      <c r="N24" s="21"/>
      <c r="X24" s="417" t="s">
        <v>157</v>
      </c>
      <c r="Y24" s="417"/>
      <c r="Z24" s="417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</row>
    <row r="25" spans="2:86" ht="13.5" customHeight="1">
      <c r="N25" s="22"/>
      <c r="X25" s="60"/>
      <c r="Y25" s="60"/>
      <c r="Z25" s="60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</row>
    <row r="26" spans="2:86" ht="13.5" customHeight="1">
      <c r="C26" s="389" t="s">
        <v>7</v>
      </c>
      <c r="D26" s="389"/>
      <c r="E26" s="389"/>
      <c r="F26" s="389"/>
      <c r="G26" s="380">
        <v>20</v>
      </c>
      <c r="H26" s="380"/>
      <c r="I26" s="380"/>
      <c r="J26" s="389" t="s">
        <v>1</v>
      </c>
      <c r="K26" s="389"/>
      <c r="L26" s="389"/>
      <c r="M26" s="389"/>
      <c r="N26" s="22"/>
      <c r="O26" s="390">
        <f>SUM(AA26:BJ26)</f>
        <v>713</v>
      </c>
      <c r="P26" s="390"/>
      <c r="Q26" s="390"/>
      <c r="R26" s="390"/>
      <c r="S26" s="390"/>
      <c r="T26" s="390"/>
      <c r="U26" s="390">
        <v>370576</v>
      </c>
      <c r="V26" s="390"/>
      <c r="W26" s="390"/>
      <c r="X26" s="390"/>
      <c r="Y26" s="390"/>
      <c r="Z26" s="390"/>
      <c r="AA26" s="390">
        <v>551</v>
      </c>
      <c r="AB26" s="390"/>
      <c r="AC26" s="390"/>
      <c r="AD26" s="390"/>
      <c r="AE26" s="390"/>
      <c r="AF26" s="390"/>
      <c r="AG26" s="390">
        <v>139</v>
      </c>
      <c r="AH26" s="390"/>
      <c r="AI26" s="390"/>
      <c r="AJ26" s="390"/>
      <c r="AK26" s="390"/>
      <c r="AL26" s="390"/>
      <c r="AM26" s="390">
        <v>4</v>
      </c>
      <c r="AN26" s="390"/>
      <c r="AO26" s="390"/>
      <c r="AP26" s="390"/>
      <c r="AQ26" s="390"/>
      <c r="AR26" s="390"/>
      <c r="AS26" s="390">
        <v>11</v>
      </c>
      <c r="AT26" s="390"/>
      <c r="AU26" s="390"/>
      <c r="AV26" s="390"/>
      <c r="AW26" s="390"/>
      <c r="AX26" s="390"/>
      <c r="AY26" s="390">
        <v>4</v>
      </c>
      <c r="AZ26" s="390"/>
      <c r="BA26" s="390"/>
      <c r="BB26" s="390"/>
      <c r="BC26" s="390"/>
      <c r="BD26" s="390"/>
      <c r="BE26" s="390">
        <f>3+1</f>
        <v>4</v>
      </c>
      <c r="BF26" s="390"/>
      <c r="BG26" s="390"/>
      <c r="BH26" s="390"/>
      <c r="BI26" s="390"/>
      <c r="BJ26" s="390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</row>
    <row r="27" spans="2:86" ht="13.5" customHeight="1">
      <c r="G27" s="380">
        <v>21</v>
      </c>
      <c r="H27" s="380"/>
      <c r="I27" s="380"/>
      <c r="N27" s="22"/>
      <c r="O27" s="390">
        <f>SUM(AA27:BJ27)</f>
        <v>759</v>
      </c>
      <c r="P27" s="390"/>
      <c r="Q27" s="390"/>
      <c r="R27" s="390"/>
      <c r="S27" s="390"/>
      <c r="T27" s="390"/>
      <c r="U27" s="402">
        <v>422617</v>
      </c>
      <c r="V27" s="402"/>
      <c r="W27" s="402"/>
      <c r="X27" s="402"/>
      <c r="Y27" s="402"/>
      <c r="Z27" s="402"/>
      <c r="AA27" s="402">
        <v>560</v>
      </c>
      <c r="AB27" s="402"/>
      <c r="AC27" s="402"/>
      <c r="AD27" s="402"/>
      <c r="AE27" s="402"/>
      <c r="AF27" s="402"/>
      <c r="AG27" s="402">
        <v>173</v>
      </c>
      <c r="AH27" s="402"/>
      <c r="AI27" s="402"/>
      <c r="AJ27" s="402"/>
      <c r="AK27" s="402"/>
      <c r="AL27" s="402"/>
      <c r="AM27" s="402">
        <v>5</v>
      </c>
      <c r="AN27" s="402"/>
      <c r="AO27" s="402"/>
      <c r="AP27" s="402"/>
      <c r="AQ27" s="402"/>
      <c r="AR27" s="402"/>
      <c r="AS27" s="402">
        <v>11</v>
      </c>
      <c r="AT27" s="402"/>
      <c r="AU27" s="402"/>
      <c r="AV27" s="402"/>
      <c r="AW27" s="402"/>
      <c r="AX27" s="402"/>
      <c r="AY27" s="402">
        <v>3</v>
      </c>
      <c r="AZ27" s="402"/>
      <c r="BA27" s="402"/>
      <c r="BB27" s="402"/>
      <c r="BC27" s="402"/>
      <c r="BD27" s="402"/>
      <c r="BE27" s="402">
        <f>1+3+1+1+1</f>
        <v>7</v>
      </c>
      <c r="BF27" s="402"/>
      <c r="BG27" s="402"/>
      <c r="BH27" s="402"/>
      <c r="BI27" s="402"/>
      <c r="BJ27" s="402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</row>
    <row r="28" spans="2:86" ht="13.5" customHeight="1">
      <c r="G28" s="380">
        <v>22</v>
      </c>
      <c r="H28" s="380"/>
      <c r="I28" s="380"/>
      <c r="N28" s="22"/>
      <c r="O28" s="390">
        <f>SUM(AA28:BJ28)</f>
        <v>809</v>
      </c>
      <c r="P28" s="390"/>
      <c r="Q28" s="390"/>
      <c r="R28" s="390"/>
      <c r="S28" s="390"/>
      <c r="T28" s="390"/>
      <c r="U28" s="418">
        <v>450207</v>
      </c>
      <c r="V28" s="418"/>
      <c r="W28" s="418"/>
      <c r="X28" s="418"/>
      <c r="Y28" s="418"/>
      <c r="Z28" s="418"/>
      <c r="AA28" s="418">
        <v>619</v>
      </c>
      <c r="AB28" s="418"/>
      <c r="AC28" s="418"/>
      <c r="AD28" s="418"/>
      <c r="AE28" s="418"/>
      <c r="AF28" s="418"/>
      <c r="AG28" s="418">
        <v>164</v>
      </c>
      <c r="AH28" s="418"/>
      <c r="AI28" s="418"/>
      <c r="AJ28" s="418"/>
      <c r="AK28" s="418"/>
      <c r="AL28" s="418"/>
      <c r="AM28" s="418">
        <v>3</v>
      </c>
      <c r="AN28" s="418"/>
      <c r="AO28" s="418"/>
      <c r="AP28" s="418"/>
      <c r="AQ28" s="418"/>
      <c r="AR28" s="418"/>
      <c r="AS28" s="418">
        <v>13</v>
      </c>
      <c r="AT28" s="418"/>
      <c r="AU28" s="418"/>
      <c r="AV28" s="418"/>
      <c r="AW28" s="418"/>
      <c r="AX28" s="418"/>
      <c r="AY28" s="414">
        <v>7</v>
      </c>
      <c r="AZ28" s="414"/>
      <c r="BA28" s="414"/>
      <c r="BB28" s="414"/>
      <c r="BC28" s="414"/>
      <c r="BD28" s="414"/>
      <c r="BE28" s="414">
        <f>2+1</f>
        <v>3</v>
      </c>
      <c r="BF28" s="414"/>
      <c r="BG28" s="414"/>
      <c r="BH28" s="414"/>
      <c r="BI28" s="414"/>
      <c r="BJ28" s="414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</row>
    <row r="29" spans="2:86" ht="13.5" customHeight="1">
      <c r="G29" s="380">
        <v>23</v>
      </c>
      <c r="H29" s="380"/>
      <c r="I29" s="380"/>
      <c r="N29" s="22"/>
      <c r="O29" s="390">
        <f>SUM(AA29:BJ29)</f>
        <v>815</v>
      </c>
      <c r="P29" s="390"/>
      <c r="Q29" s="390"/>
      <c r="R29" s="390"/>
      <c r="S29" s="390"/>
      <c r="T29" s="390"/>
      <c r="U29" s="418">
        <v>475954</v>
      </c>
      <c r="V29" s="418"/>
      <c r="W29" s="418"/>
      <c r="X29" s="418"/>
      <c r="Y29" s="418"/>
      <c r="Z29" s="418"/>
      <c r="AA29" s="418">
        <v>634</v>
      </c>
      <c r="AB29" s="418"/>
      <c r="AC29" s="418"/>
      <c r="AD29" s="418"/>
      <c r="AE29" s="418"/>
      <c r="AF29" s="418"/>
      <c r="AG29" s="418">
        <v>158</v>
      </c>
      <c r="AH29" s="418"/>
      <c r="AI29" s="418"/>
      <c r="AJ29" s="418"/>
      <c r="AK29" s="418"/>
      <c r="AL29" s="418"/>
      <c r="AM29" s="418">
        <v>4</v>
      </c>
      <c r="AN29" s="418"/>
      <c r="AO29" s="418"/>
      <c r="AP29" s="418"/>
      <c r="AQ29" s="418"/>
      <c r="AR29" s="418"/>
      <c r="AS29" s="418">
        <v>12</v>
      </c>
      <c r="AT29" s="418"/>
      <c r="AU29" s="418"/>
      <c r="AV29" s="418"/>
      <c r="AW29" s="418"/>
      <c r="AX29" s="418"/>
      <c r="AY29" s="414">
        <v>3</v>
      </c>
      <c r="AZ29" s="414"/>
      <c r="BA29" s="414"/>
      <c r="BB29" s="414"/>
      <c r="BC29" s="414"/>
      <c r="BD29" s="414"/>
      <c r="BE29" s="414">
        <f>2+1+1</f>
        <v>4</v>
      </c>
      <c r="BF29" s="414"/>
      <c r="BG29" s="414"/>
      <c r="BH29" s="414"/>
      <c r="BI29" s="414"/>
      <c r="BJ29" s="414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</row>
    <row r="30" spans="2:86" ht="13.5" customHeight="1">
      <c r="G30" s="392">
        <v>24</v>
      </c>
      <c r="H30" s="392"/>
      <c r="I30" s="392"/>
      <c r="N30" s="6"/>
      <c r="O30" s="401">
        <f>SUM(AA30:BJ30)</f>
        <v>770</v>
      </c>
      <c r="P30" s="397"/>
      <c r="Q30" s="397"/>
      <c r="R30" s="397"/>
      <c r="S30" s="397"/>
      <c r="T30" s="397"/>
      <c r="U30" s="397">
        <v>454306</v>
      </c>
      <c r="V30" s="397"/>
      <c r="W30" s="397"/>
      <c r="X30" s="397"/>
      <c r="Y30" s="397"/>
      <c r="Z30" s="397"/>
      <c r="AA30" s="397">
        <v>611</v>
      </c>
      <c r="AB30" s="397"/>
      <c r="AC30" s="397"/>
      <c r="AD30" s="397"/>
      <c r="AE30" s="397"/>
      <c r="AF30" s="397"/>
      <c r="AG30" s="397">
        <v>138</v>
      </c>
      <c r="AH30" s="397"/>
      <c r="AI30" s="397"/>
      <c r="AJ30" s="397"/>
      <c r="AK30" s="397"/>
      <c r="AL30" s="397"/>
      <c r="AM30" s="397">
        <v>3</v>
      </c>
      <c r="AN30" s="397"/>
      <c r="AO30" s="397"/>
      <c r="AP30" s="397"/>
      <c r="AQ30" s="397"/>
      <c r="AR30" s="397"/>
      <c r="AS30" s="397">
        <v>8</v>
      </c>
      <c r="AT30" s="397"/>
      <c r="AU30" s="397"/>
      <c r="AV30" s="397"/>
      <c r="AW30" s="397"/>
      <c r="AX30" s="397"/>
      <c r="AY30" s="397">
        <v>9</v>
      </c>
      <c r="AZ30" s="397"/>
      <c r="BA30" s="397"/>
      <c r="BB30" s="397"/>
      <c r="BC30" s="397"/>
      <c r="BD30" s="397"/>
      <c r="BE30" s="397">
        <v>1</v>
      </c>
      <c r="BF30" s="397"/>
      <c r="BG30" s="397"/>
      <c r="BH30" s="397"/>
      <c r="BI30" s="397"/>
      <c r="BJ30" s="397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</row>
    <row r="31" spans="2:86" ht="13.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</row>
    <row r="32" spans="2:86" ht="13.5" customHeight="1">
      <c r="B32" s="419" t="s">
        <v>9</v>
      </c>
      <c r="C32" s="419"/>
      <c r="D32" s="419"/>
      <c r="E32" s="58" t="s">
        <v>369</v>
      </c>
      <c r="F32" s="2" t="s">
        <v>50</v>
      </c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</row>
    <row r="33" spans="2:86"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</row>
    <row r="34" spans="2:86" ht="12.95" customHeight="1">
      <c r="B34" s="380" t="s">
        <v>377</v>
      </c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/>
      <c r="BG34" s="380"/>
      <c r="BH34" s="380"/>
      <c r="BI34" s="380"/>
      <c r="BJ34" s="380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</row>
    <row r="35" spans="2:86" ht="12.9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20" t="s">
        <v>458</v>
      </c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</row>
    <row r="36" spans="2:86" ht="13.5" customHeight="1">
      <c r="B36" s="411" t="s">
        <v>1</v>
      </c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 t="s">
        <v>18</v>
      </c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7" t="s">
        <v>371</v>
      </c>
      <c r="AB36" s="423"/>
      <c r="AC36" s="423"/>
      <c r="AD36" s="423"/>
      <c r="AE36" s="423"/>
      <c r="AF36" s="423"/>
      <c r="AG36" s="423"/>
      <c r="AH36" s="423"/>
      <c r="AI36" s="423"/>
      <c r="AJ36" s="423"/>
      <c r="AK36" s="423"/>
      <c r="AL36" s="423"/>
      <c r="AM36" s="423"/>
      <c r="AN36" s="423"/>
      <c r="AO36" s="423"/>
      <c r="AP36" s="423"/>
      <c r="AQ36" s="423"/>
      <c r="AR36" s="423"/>
      <c r="AS36" s="423"/>
      <c r="AT36" s="423"/>
      <c r="AU36" s="423"/>
      <c r="AV36" s="423"/>
      <c r="AW36" s="423"/>
      <c r="AX36" s="423"/>
      <c r="AY36" s="423"/>
      <c r="AZ36" s="423"/>
      <c r="BA36" s="423"/>
      <c r="BB36" s="423"/>
      <c r="BC36" s="423"/>
      <c r="BD36" s="423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</row>
    <row r="37" spans="2:86" ht="13.5" customHeight="1">
      <c r="B37" s="412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 t="s">
        <v>367</v>
      </c>
      <c r="P37" s="385"/>
      <c r="Q37" s="385"/>
      <c r="R37" s="385"/>
      <c r="S37" s="385"/>
      <c r="T37" s="385"/>
      <c r="U37" s="385" t="s">
        <v>368</v>
      </c>
      <c r="V37" s="385"/>
      <c r="W37" s="385"/>
      <c r="X37" s="385"/>
      <c r="Y37" s="385"/>
      <c r="Z37" s="385"/>
      <c r="AA37" s="385" t="s">
        <v>372</v>
      </c>
      <c r="AB37" s="385"/>
      <c r="AC37" s="385"/>
      <c r="AD37" s="385"/>
      <c r="AE37" s="385"/>
      <c r="AF37" s="385"/>
      <c r="AG37" s="385" t="s">
        <v>373</v>
      </c>
      <c r="AH37" s="385"/>
      <c r="AI37" s="385"/>
      <c r="AJ37" s="385"/>
      <c r="AK37" s="385"/>
      <c r="AL37" s="388"/>
      <c r="AM37" s="385" t="s">
        <v>375</v>
      </c>
      <c r="AN37" s="385"/>
      <c r="AO37" s="385"/>
      <c r="AP37" s="385"/>
      <c r="AQ37" s="385"/>
      <c r="AR37" s="385"/>
      <c r="AS37" s="385" t="s">
        <v>374</v>
      </c>
      <c r="AT37" s="385"/>
      <c r="AU37" s="385"/>
      <c r="AV37" s="385"/>
      <c r="AW37" s="385"/>
      <c r="AX37" s="385"/>
      <c r="AY37" s="385" t="s">
        <v>196</v>
      </c>
      <c r="AZ37" s="385"/>
      <c r="BA37" s="385"/>
      <c r="BB37" s="385"/>
      <c r="BC37" s="385"/>
      <c r="BD37" s="38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</row>
    <row r="38" spans="2:86" ht="13.5" customHeight="1">
      <c r="N38" s="21"/>
      <c r="X38" s="417" t="s">
        <v>157</v>
      </c>
      <c r="Y38" s="417"/>
      <c r="Z38" s="417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</row>
    <row r="39" spans="2:86" ht="13.5" customHeight="1">
      <c r="N39" s="22"/>
      <c r="X39" s="60"/>
      <c r="Y39" s="60"/>
      <c r="Z39" s="60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</row>
    <row r="40" spans="2:86" ht="13.5" customHeight="1">
      <c r="C40" s="389" t="s">
        <v>7</v>
      </c>
      <c r="D40" s="389"/>
      <c r="E40" s="389"/>
      <c r="F40" s="389"/>
      <c r="G40" s="380">
        <v>20</v>
      </c>
      <c r="H40" s="380"/>
      <c r="I40" s="380"/>
      <c r="J40" s="389" t="s">
        <v>1</v>
      </c>
      <c r="K40" s="389"/>
      <c r="L40" s="389"/>
      <c r="M40" s="389"/>
      <c r="N40" s="22"/>
      <c r="O40" s="421">
        <f>SUM(AA40:BD40)</f>
        <v>49</v>
      </c>
      <c r="P40" s="409"/>
      <c r="Q40" s="409"/>
      <c r="R40" s="409"/>
      <c r="S40" s="409"/>
      <c r="T40" s="409"/>
      <c r="U40" s="391">
        <v>31011</v>
      </c>
      <c r="V40" s="391"/>
      <c r="W40" s="391"/>
      <c r="X40" s="391"/>
      <c r="Y40" s="391"/>
      <c r="Z40" s="391"/>
      <c r="AA40" s="409">
        <v>41</v>
      </c>
      <c r="AB40" s="409"/>
      <c r="AC40" s="409"/>
      <c r="AD40" s="409"/>
      <c r="AE40" s="409"/>
      <c r="AF40" s="409"/>
      <c r="AG40" s="409">
        <v>7</v>
      </c>
      <c r="AH40" s="409"/>
      <c r="AI40" s="409"/>
      <c r="AJ40" s="409"/>
      <c r="AK40" s="409"/>
      <c r="AL40" s="409"/>
      <c r="AM40" s="409">
        <v>0</v>
      </c>
      <c r="AN40" s="409"/>
      <c r="AO40" s="409"/>
      <c r="AP40" s="409"/>
      <c r="AQ40" s="409"/>
      <c r="AR40" s="409"/>
      <c r="AS40" s="391">
        <v>0</v>
      </c>
      <c r="AT40" s="391"/>
      <c r="AU40" s="391"/>
      <c r="AV40" s="391"/>
      <c r="AW40" s="391"/>
      <c r="AX40" s="391"/>
      <c r="AY40" s="409">
        <v>1</v>
      </c>
      <c r="AZ40" s="409"/>
      <c r="BA40" s="409"/>
      <c r="BB40" s="409"/>
      <c r="BC40" s="409"/>
      <c r="BD40" s="409"/>
      <c r="BN40" s="59"/>
      <c r="BO40" s="59"/>
      <c r="BP40" s="293"/>
      <c r="BQ40" s="59"/>
      <c r="BR40" s="59"/>
      <c r="BS40" s="59"/>
      <c r="BT40" s="59"/>
      <c r="BU40" s="59"/>
      <c r="BV40" s="59"/>
      <c r="BW40" s="293"/>
      <c r="BX40" s="59"/>
      <c r="BY40" s="59"/>
      <c r="BZ40" s="59"/>
      <c r="CA40" s="59"/>
      <c r="CB40" s="59"/>
      <c r="CC40" s="59"/>
      <c r="CD40" s="293"/>
      <c r="CE40" s="59"/>
      <c r="CF40" s="59"/>
      <c r="CG40" s="59"/>
      <c r="CH40" s="59"/>
    </row>
    <row r="41" spans="2:86" ht="13.5" customHeight="1">
      <c r="G41" s="380">
        <v>21</v>
      </c>
      <c r="H41" s="380"/>
      <c r="I41" s="380"/>
      <c r="N41" s="22"/>
      <c r="O41" s="421">
        <f>SUM(AA41:BD41)</f>
        <v>46</v>
      </c>
      <c r="P41" s="409"/>
      <c r="Q41" s="409"/>
      <c r="R41" s="409"/>
      <c r="S41" s="409"/>
      <c r="T41" s="409"/>
      <c r="U41" s="391">
        <v>31386</v>
      </c>
      <c r="V41" s="391"/>
      <c r="W41" s="391"/>
      <c r="X41" s="391"/>
      <c r="Y41" s="391"/>
      <c r="Z41" s="391"/>
      <c r="AA41" s="409">
        <v>35</v>
      </c>
      <c r="AB41" s="409"/>
      <c r="AC41" s="409"/>
      <c r="AD41" s="409"/>
      <c r="AE41" s="409"/>
      <c r="AF41" s="409"/>
      <c r="AG41" s="409">
        <v>6</v>
      </c>
      <c r="AH41" s="409"/>
      <c r="AI41" s="409"/>
      <c r="AJ41" s="409"/>
      <c r="AK41" s="409"/>
      <c r="AL41" s="409"/>
      <c r="AM41" s="409">
        <v>3</v>
      </c>
      <c r="AN41" s="409"/>
      <c r="AO41" s="409"/>
      <c r="AP41" s="409"/>
      <c r="AQ41" s="409"/>
      <c r="AR41" s="409"/>
      <c r="AS41" s="391">
        <v>1</v>
      </c>
      <c r="AT41" s="391"/>
      <c r="AU41" s="391"/>
      <c r="AV41" s="391"/>
      <c r="AW41" s="391"/>
      <c r="AX41" s="391"/>
      <c r="AY41" s="409">
        <v>1</v>
      </c>
      <c r="AZ41" s="409"/>
      <c r="BA41" s="409"/>
      <c r="BB41" s="409"/>
      <c r="BC41" s="409"/>
      <c r="BD41" s="409"/>
      <c r="BN41" s="59"/>
      <c r="BO41" s="59"/>
      <c r="BP41" s="293"/>
      <c r="BQ41" s="59"/>
      <c r="BR41" s="59"/>
      <c r="BS41" s="59"/>
      <c r="BT41" s="59"/>
      <c r="BU41" s="59"/>
      <c r="BV41" s="59"/>
      <c r="BW41" s="293"/>
      <c r="BX41" s="59"/>
      <c r="BY41" s="59"/>
      <c r="BZ41" s="59"/>
      <c r="CA41" s="59"/>
      <c r="CB41" s="59"/>
      <c r="CC41" s="59"/>
      <c r="CD41" s="293"/>
      <c r="CE41" s="59"/>
      <c r="CF41" s="59"/>
      <c r="CG41" s="59"/>
      <c r="CH41" s="59"/>
    </row>
    <row r="42" spans="2:86" ht="13.5" customHeight="1">
      <c r="G42" s="380">
        <v>22</v>
      </c>
      <c r="H42" s="380"/>
      <c r="I42" s="380"/>
      <c r="N42" s="22"/>
      <c r="O42" s="421">
        <f>SUM(AA42:BD42)</f>
        <v>58</v>
      </c>
      <c r="P42" s="409"/>
      <c r="Q42" s="409"/>
      <c r="R42" s="409"/>
      <c r="S42" s="409"/>
      <c r="T42" s="409"/>
      <c r="U42" s="391">
        <v>37458</v>
      </c>
      <c r="V42" s="391"/>
      <c r="W42" s="391"/>
      <c r="X42" s="391"/>
      <c r="Y42" s="391"/>
      <c r="Z42" s="391"/>
      <c r="AA42" s="409">
        <v>45</v>
      </c>
      <c r="AB42" s="409"/>
      <c r="AC42" s="409"/>
      <c r="AD42" s="409"/>
      <c r="AE42" s="409"/>
      <c r="AF42" s="409"/>
      <c r="AG42" s="409">
        <v>8</v>
      </c>
      <c r="AH42" s="409"/>
      <c r="AI42" s="409"/>
      <c r="AJ42" s="409"/>
      <c r="AK42" s="409"/>
      <c r="AL42" s="409"/>
      <c r="AM42" s="409">
        <v>3</v>
      </c>
      <c r="AN42" s="409"/>
      <c r="AO42" s="409"/>
      <c r="AP42" s="409"/>
      <c r="AQ42" s="409"/>
      <c r="AR42" s="409"/>
      <c r="AS42" s="391">
        <v>1</v>
      </c>
      <c r="AT42" s="391"/>
      <c r="AU42" s="391"/>
      <c r="AV42" s="391"/>
      <c r="AW42" s="391"/>
      <c r="AX42" s="391"/>
      <c r="AY42" s="409">
        <v>1</v>
      </c>
      <c r="AZ42" s="409"/>
      <c r="BA42" s="409"/>
      <c r="BB42" s="409"/>
      <c r="BC42" s="409"/>
      <c r="BD42" s="409"/>
      <c r="BN42" s="59"/>
      <c r="BO42" s="59"/>
      <c r="BP42" s="293"/>
      <c r="BQ42" s="59"/>
      <c r="BR42" s="59"/>
      <c r="BS42" s="59"/>
      <c r="BT42" s="59"/>
      <c r="BU42" s="59"/>
      <c r="BV42" s="59"/>
      <c r="BW42" s="293"/>
      <c r="BX42" s="59"/>
      <c r="BY42" s="59"/>
      <c r="BZ42" s="59"/>
      <c r="CA42" s="59"/>
      <c r="CB42" s="59"/>
      <c r="CC42" s="59"/>
      <c r="CD42" s="293"/>
      <c r="CE42" s="59"/>
      <c r="CF42" s="59"/>
      <c r="CG42" s="59"/>
      <c r="CH42" s="59"/>
    </row>
    <row r="43" spans="2:86" ht="13.5" customHeight="1">
      <c r="G43" s="380">
        <v>23</v>
      </c>
      <c r="H43" s="380"/>
      <c r="I43" s="380"/>
      <c r="N43" s="22"/>
      <c r="O43" s="421">
        <f>SUM(AA43:BD43)</f>
        <v>41</v>
      </c>
      <c r="P43" s="409"/>
      <c r="Q43" s="409"/>
      <c r="R43" s="409"/>
      <c r="S43" s="409"/>
      <c r="T43" s="409"/>
      <c r="U43" s="409">
        <v>27821</v>
      </c>
      <c r="V43" s="409"/>
      <c r="W43" s="409"/>
      <c r="X43" s="409"/>
      <c r="Y43" s="409"/>
      <c r="Z43" s="409"/>
      <c r="AA43" s="409">
        <v>38</v>
      </c>
      <c r="AB43" s="409"/>
      <c r="AC43" s="409"/>
      <c r="AD43" s="409"/>
      <c r="AE43" s="409"/>
      <c r="AF43" s="409"/>
      <c r="AG43" s="409">
        <v>2</v>
      </c>
      <c r="AH43" s="409"/>
      <c r="AI43" s="409"/>
      <c r="AJ43" s="409"/>
      <c r="AK43" s="409"/>
      <c r="AL43" s="409"/>
      <c r="AM43" s="409">
        <v>0</v>
      </c>
      <c r="AN43" s="409"/>
      <c r="AO43" s="409"/>
      <c r="AP43" s="409"/>
      <c r="AQ43" s="409"/>
      <c r="AR43" s="409"/>
      <c r="AS43" s="409">
        <v>1</v>
      </c>
      <c r="AT43" s="409"/>
      <c r="AU43" s="409"/>
      <c r="AV43" s="409"/>
      <c r="AW43" s="409"/>
      <c r="AX43" s="409"/>
      <c r="AY43" s="409">
        <v>0</v>
      </c>
      <c r="AZ43" s="409"/>
      <c r="BA43" s="409"/>
      <c r="BB43" s="409"/>
      <c r="BC43" s="409"/>
      <c r="BD43" s="409"/>
      <c r="BN43" s="59"/>
      <c r="BO43" s="59"/>
      <c r="BP43" s="293"/>
      <c r="BQ43" s="59"/>
      <c r="BR43" s="59"/>
      <c r="BS43" s="59"/>
      <c r="BT43" s="59"/>
      <c r="BU43" s="59"/>
      <c r="BV43" s="59"/>
      <c r="BW43" s="293"/>
      <c r="BX43" s="59"/>
      <c r="BY43" s="59"/>
      <c r="BZ43" s="59"/>
      <c r="CA43" s="59"/>
      <c r="CB43" s="59"/>
      <c r="CC43" s="59"/>
      <c r="CD43" s="293"/>
      <c r="CE43" s="59"/>
      <c r="CF43" s="59"/>
      <c r="CG43" s="59"/>
      <c r="CH43" s="59"/>
    </row>
    <row r="44" spans="2:86" ht="13.5" customHeight="1">
      <c r="G44" s="392">
        <v>24</v>
      </c>
      <c r="H44" s="392"/>
      <c r="I44" s="392"/>
      <c r="N44" s="6"/>
      <c r="O44" s="401">
        <f>SUM(AA44:BD44)</f>
        <v>41</v>
      </c>
      <c r="P44" s="397"/>
      <c r="Q44" s="397"/>
      <c r="R44" s="397"/>
      <c r="S44" s="397"/>
      <c r="T44" s="397"/>
      <c r="U44" s="397">
        <v>31530</v>
      </c>
      <c r="V44" s="397"/>
      <c r="W44" s="397"/>
      <c r="X44" s="397"/>
      <c r="Y44" s="397"/>
      <c r="Z44" s="397"/>
      <c r="AA44" s="397">
        <v>33</v>
      </c>
      <c r="AB44" s="397"/>
      <c r="AC44" s="397"/>
      <c r="AD44" s="397"/>
      <c r="AE44" s="397"/>
      <c r="AF44" s="397"/>
      <c r="AG44" s="397">
        <v>3</v>
      </c>
      <c r="AH44" s="397"/>
      <c r="AI44" s="397"/>
      <c r="AJ44" s="397"/>
      <c r="AK44" s="397"/>
      <c r="AL44" s="397"/>
      <c r="AM44" s="397">
        <v>1</v>
      </c>
      <c r="AN44" s="397"/>
      <c r="AO44" s="397"/>
      <c r="AP44" s="397"/>
      <c r="AQ44" s="397"/>
      <c r="AR44" s="397"/>
      <c r="AS44" s="397">
        <v>2</v>
      </c>
      <c r="AT44" s="397"/>
      <c r="AU44" s="397"/>
      <c r="AV44" s="397"/>
      <c r="AW44" s="397"/>
      <c r="AX44" s="397"/>
      <c r="AY44" s="397">
        <v>2</v>
      </c>
      <c r="AZ44" s="397"/>
      <c r="BA44" s="397"/>
      <c r="BB44" s="397"/>
      <c r="BC44" s="397"/>
      <c r="BD44" s="397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</row>
    <row r="45" spans="2:86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</row>
    <row r="46" spans="2:86" ht="13.5" customHeight="1">
      <c r="B46" s="419" t="s">
        <v>9</v>
      </c>
      <c r="C46" s="419"/>
      <c r="D46" s="419"/>
      <c r="E46" s="58" t="s">
        <v>369</v>
      </c>
      <c r="F46" s="2" t="s">
        <v>50</v>
      </c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</row>
    <row r="47" spans="2:86"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</row>
    <row r="48" spans="2:86" ht="12.95" customHeight="1">
      <c r="B48" s="422" t="s">
        <v>378</v>
      </c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22"/>
      <c r="Z48" s="422"/>
      <c r="AA48" s="422"/>
      <c r="AB48" s="422"/>
      <c r="AC48" s="422"/>
      <c r="AD48" s="422"/>
      <c r="AE48" s="422"/>
      <c r="AF48" s="422"/>
      <c r="AG48" s="422"/>
      <c r="AH48" s="422"/>
      <c r="AI48" s="422"/>
      <c r="AJ48" s="422"/>
      <c r="AK48" s="422"/>
      <c r="AL48" s="422"/>
      <c r="AM48" s="422"/>
      <c r="AN48" s="422"/>
      <c r="AO48" s="422"/>
      <c r="AP48" s="422"/>
      <c r="AQ48" s="422"/>
      <c r="AR48" s="422"/>
      <c r="AS48" s="422"/>
      <c r="AT48" s="422"/>
      <c r="AU48" s="422"/>
      <c r="AV48" s="422"/>
      <c r="AW48" s="422"/>
      <c r="AX48" s="422"/>
      <c r="AY48" s="422"/>
      <c r="AZ48" s="422"/>
      <c r="BA48" s="422"/>
      <c r="BB48" s="422"/>
      <c r="BC48" s="422"/>
      <c r="BD48" s="422"/>
      <c r="BE48" s="422"/>
      <c r="BF48" s="422"/>
      <c r="BG48" s="422"/>
      <c r="BH48" s="422"/>
      <c r="BI48" s="422"/>
      <c r="BJ48" s="422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</row>
    <row r="49" spans="2:86" ht="12.9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BD49" s="20" t="s">
        <v>458</v>
      </c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</row>
    <row r="50" spans="2:86" ht="13.5" customHeight="1">
      <c r="B50" s="411" t="s">
        <v>1</v>
      </c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7" t="s">
        <v>379</v>
      </c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11"/>
      <c r="AC50" s="424" t="s">
        <v>380</v>
      </c>
      <c r="AD50" s="425"/>
      <c r="AE50" s="425"/>
      <c r="AF50" s="425"/>
      <c r="AG50" s="425"/>
      <c r="AH50" s="425"/>
      <c r="AI50" s="425"/>
      <c r="AJ50" s="425"/>
      <c r="AK50" s="425"/>
      <c r="AL50" s="425"/>
      <c r="AM50" s="425"/>
      <c r="AN50" s="425"/>
      <c r="AO50" s="425"/>
      <c r="AP50" s="425"/>
      <c r="AQ50" s="425"/>
      <c r="AR50" s="425"/>
      <c r="AS50" s="425"/>
      <c r="AT50" s="425"/>
      <c r="AU50" s="425"/>
      <c r="AV50" s="425"/>
      <c r="AW50" s="425"/>
      <c r="AX50" s="425"/>
      <c r="AY50" s="425"/>
      <c r="AZ50" s="425"/>
      <c r="BA50" s="425"/>
      <c r="BB50" s="425"/>
      <c r="BC50" s="425"/>
      <c r="BD50" s="425"/>
    </row>
    <row r="51" spans="2:86" ht="13.5" customHeight="1">
      <c r="B51" s="383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 t="s">
        <v>18</v>
      </c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407"/>
      <c r="AC51" s="384" t="s">
        <v>18</v>
      </c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407" t="s">
        <v>371</v>
      </c>
      <c r="AR51" s="426"/>
      <c r="AS51" s="426"/>
      <c r="AT51" s="426"/>
      <c r="AU51" s="426"/>
      <c r="AV51" s="426"/>
      <c r="AW51" s="426"/>
      <c r="AX51" s="426"/>
      <c r="AY51" s="426"/>
      <c r="AZ51" s="426"/>
      <c r="BA51" s="426"/>
      <c r="BB51" s="426"/>
      <c r="BC51" s="426"/>
      <c r="BD51" s="426"/>
    </row>
    <row r="52" spans="2:86" ht="13.5" customHeight="1">
      <c r="B52" s="412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 t="s">
        <v>367</v>
      </c>
      <c r="P52" s="385"/>
      <c r="Q52" s="385"/>
      <c r="R52" s="385"/>
      <c r="S52" s="385"/>
      <c r="T52" s="385"/>
      <c r="U52" s="385"/>
      <c r="V52" s="385" t="s">
        <v>368</v>
      </c>
      <c r="W52" s="385"/>
      <c r="X52" s="385"/>
      <c r="Y52" s="385"/>
      <c r="Z52" s="385"/>
      <c r="AA52" s="385"/>
      <c r="AB52" s="388"/>
      <c r="AC52" s="385" t="s">
        <v>367</v>
      </c>
      <c r="AD52" s="385"/>
      <c r="AE52" s="385"/>
      <c r="AF52" s="385"/>
      <c r="AG52" s="385"/>
      <c r="AH52" s="385"/>
      <c r="AI52" s="385"/>
      <c r="AJ52" s="385" t="s">
        <v>368</v>
      </c>
      <c r="AK52" s="385"/>
      <c r="AL52" s="385"/>
      <c r="AM52" s="385"/>
      <c r="AN52" s="385"/>
      <c r="AO52" s="385"/>
      <c r="AP52" s="385"/>
      <c r="AQ52" s="427" t="s">
        <v>2</v>
      </c>
      <c r="AR52" s="427"/>
      <c r="AS52" s="427"/>
      <c r="AT52" s="427"/>
      <c r="AU52" s="427"/>
      <c r="AV52" s="427"/>
      <c r="AW52" s="427"/>
      <c r="AX52" s="427" t="s">
        <v>381</v>
      </c>
      <c r="AY52" s="427"/>
      <c r="AZ52" s="427"/>
      <c r="BA52" s="427"/>
      <c r="BB52" s="427"/>
      <c r="BC52" s="427"/>
      <c r="BD52" s="428"/>
    </row>
    <row r="53" spans="2:86" ht="13.5" customHeight="1">
      <c r="N53" s="21"/>
      <c r="Z53" s="429" t="s">
        <v>157</v>
      </c>
      <c r="AA53" s="429"/>
      <c r="AB53" s="429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417" t="s">
        <v>157</v>
      </c>
      <c r="AO53" s="417"/>
      <c r="AP53" s="417"/>
    </row>
    <row r="54" spans="2:86" ht="13.5" customHeight="1">
      <c r="N54" s="22"/>
      <c r="Z54" s="252"/>
      <c r="AA54" s="252"/>
      <c r="AB54" s="252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0"/>
      <c r="AO54" s="60"/>
      <c r="AP54" s="60"/>
    </row>
    <row r="55" spans="2:86" ht="13.5" customHeight="1">
      <c r="C55" s="389" t="s">
        <v>7</v>
      </c>
      <c r="D55" s="389"/>
      <c r="E55" s="389"/>
      <c r="F55" s="389"/>
      <c r="G55" s="380">
        <v>20</v>
      </c>
      <c r="H55" s="380"/>
      <c r="I55" s="380"/>
      <c r="J55" s="389" t="s">
        <v>1</v>
      </c>
      <c r="K55" s="389"/>
      <c r="L55" s="389"/>
      <c r="M55" s="389"/>
      <c r="N55" s="6"/>
      <c r="O55" s="420">
        <v>37</v>
      </c>
      <c r="P55" s="418"/>
      <c r="Q55" s="418"/>
      <c r="R55" s="418"/>
      <c r="S55" s="418"/>
      <c r="T55" s="418"/>
      <c r="U55" s="418"/>
      <c r="V55" s="418">
        <v>2203</v>
      </c>
      <c r="W55" s="418"/>
      <c r="X55" s="418"/>
      <c r="Y55" s="418"/>
      <c r="Z55" s="418"/>
      <c r="AA55" s="418"/>
      <c r="AB55" s="418"/>
      <c r="AC55" s="418">
        <f>SUM(AQ55:BD55)</f>
        <v>115</v>
      </c>
      <c r="AD55" s="418"/>
      <c r="AE55" s="418"/>
      <c r="AF55" s="418"/>
      <c r="AG55" s="418"/>
      <c r="AH55" s="418"/>
      <c r="AI55" s="418"/>
      <c r="AJ55" s="418">
        <v>17170</v>
      </c>
      <c r="AK55" s="418"/>
      <c r="AL55" s="418"/>
      <c r="AM55" s="418"/>
      <c r="AN55" s="418"/>
      <c r="AO55" s="418"/>
      <c r="AP55" s="418"/>
      <c r="AQ55" s="418">
        <v>107</v>
      </c>
      <c r="AR55" s="418"/>
      <c r="AS55" s="418"/>
      <c r="AT55" s="418"/>
      <c r="AU55" s="418"/>
      <c r="AV55" s="418"/>
      <c r="AW55" s="418"/>
      <c r="AX55" s="418">
        <v>8</v>
      </c>
      <c r="AY55" s="418"/>
      <c r="AZ55" s="418"/>
      <c r="BA55" s="418"/>
      <c r="BB55" s="418"/>
      <c r="BC55" s="418"/>
      <c r="BD55" s="418"/>
    </row>
    <row r="56" spans="2:86" ht="13.5" customHeight="1">
      <c r="G56" s="380">
        <v>21</v>
      </c>
      <c r="H56" s="380"/>
      <c r="I56" s="380"/>
      <c r="N56" s="6"/>
      <c r="O56" s="420">
        <v>33</v>
      </c>
      <c r="P56" s="418"/>
      <c r="Q56" s="418"/>
      <c r="R56" s="418"/>
      <c r="S56" s="418"/>
      <c r="T56" s="418"/>
      <c r="U56" s="418"/>
      <c r="V56" s="418">
        <v>2080</v>
      </c>
      <c r="W56" s="418"/>
      <c r="X56" s="418"/>
      <c r="Y56" s="418"/>
      <c r="Z56" s="418"/>
      <c r="AA56" s="418"/>
      <c r="AB56" s="418"/>
      <c r="AC56" s="418">
        <f>SUM(AQ56:BD56)</f>
        <v>155</v>
      </c>
      <c r="AD56" s="418"/>
      <c r="AE56" s="418"/>
      <c r="AF56" s="418"/>
      <c r="AG56" s="418"/>
      <c r="AH56" s="418"/>
      <c r="AI56" s="418"/>
      <c r="AJ56" s="418">
        <v>14970</v>
      </c>
      <c r="AK56" s="418"/>
      <c r="AL56" s="418"/>
      <c r="AM56" s="418"/>
      <c r="AN56" s="418"/>
      <c r="AO56" s="418"/>
      <c r="AP56" s="418"/>
      <c r="AQ56" s="418">
        <v>150</v>
      </c>
      <c r="AR56" s="418"/>
      <c r="AS56" s="418"/>
      <c r="AT56" s="418"/>
      <c r="AU56" s="418"/>
      <c r="AV56" s="418"/>
      <c r="AW56" s="418"/>
      <c r="AX56" s="418">
        <v>5</v>
      </c>
      <c r="AY56" s="418"/>
      <c r="AZ56" s="418"/>
      <c r="BA56" s="418"/>
      <c r="BB56" s="418"/>
      <c r="BC56" s="418"/>
      <c r="BD56" s="418"/>
    </row>
    <row r="57" spans="2:86" ht="13.5" customHeight="1">
      <c r="G57" s="380">
        <v>22</v>
      </c>
      <c r="H57" s="380"/>
      <c r="I57" s="380"/>
      <c r="N57" s="6"/>
      <c r="O57" s="420">
        <v>24</v>
      </c>
      <c r="P57" s="418"/>
      <c r="Q57" s="418"/>
      <c r="R57" s="418"/>
      <c r="S57" s="418"/>
      <c r="T57" s="418"/>
      <c r="U57" s="418"/>
      <c r="V57" s="418">
        <v>1491</v>
      </c>
      <c r="W57" s="418"/>
      <c r="X57" s="418"/>
      <c r="Y57" s="418"/>
      <c r="Z57" s="418"/>
      <c r="AA57" s="418"/>
      <c r="AB57" s="418"/>
      <c r="AC57" s="418">
        <f>SUM(AQ57:BD57)</f>
        <v>145</v>
      </c>
      <c r="AD57" s="418"/>
      <c r="AE57" s="418"/>
      <c r="AF57" s="418"/>
      <c r="AG57" s="418"/>
      <c r="AH57" s="418"/>
      <c r="AI57" s="418"/>
      <c r="AJ57" s="418">
        <v>17040</v>
      </c>
      <c r="AK57" s="418"/>
      <c r="AL57" s="418"/>
      <c r="AM57" s="418"/>
      <c r="AN57" s="418"/>
      <c r="AO57" s="418"/>
      <c r="AP57" s="418"/>
      <c r="AQ57" s="418">
        <v>130</v>
      </c>
      <c r="AR57" s="418"/>
      <c r="AS57" s="418"/>
      <c r="AT57" s="418"/>
      <c r="AU57" s="418"/>
      <c r="AV57" s="418"/>
      <c r="AW57" s="418"/>
      <c r="AX57" s="418">
        <v>15</v>
      </c>
      <c r="AY57" s="418"/>
      <c r="AZ57" s="418"/>
      <c r="BA57" s="418"/>
      <c r="BB57" s="418"/>
      <c r="BC57" s="418"/>
      <c r="BD57" s="418"/>
    </row>
    <row r="58" spans="2:86" ht="13.5" customHeight="1">
      <c r="G58" s="380">
        <v>23</v>
      </c>
      <c r="H58" s="380"/>
      <c r="I58" s="380"/>
      <c r="N58" s="6"/>
      <c r="O58" s="420">
        <v>25</v>
      </c>
      <c r="P58" s="418"/>
      <c r="Q58" s="418"/>
      <c r="R58" s="418"/>
      <c r="S58" s="418"/>
      <c r="T58" s="418"/>
      <c r="U58" s="418"/>
      <c r="V58" s="418">
        <v>1521</v>
      </c>
      <c r="W58" s="418"/>
      <c r="X58" s="418"/>
      <c r="Y58" s="418"/>
      <c r="Z58" s="418"/>
      <c r="AA58" s="418"/>
      <c r="AB58" s="418"/>
      <c r="AC58" s="418">
        <f>SUM(AQ58:BD58)</f>
        <v>140</v>
      </c>
      <c r="AD58" s="418"/>
      <c r="AE58" s="418"/>
      <c r="AF58" s="418"/>
      <c r="AG58" s="418"/>
      <c r="AH58" s="418"/>
      <c r="AI58" s="418"/>
      <c r="AJ58" s="418">
        <v>12010</v>
      </c>
      <c r="AK58" s="418"/>
      <c r="AL58" s="418"/>
      <c r="AM58" s="418"/>
      <c r="AN58" s="418"/>
      <c r="AO58" s="418"/>
      <c r="AP58" s="418"/>
      <c r="AQ58" s="418">
        <v>126</v>
      </c>
      <c r="AR58" s="418"/>
      <c r="AS58" s="418"/>
      <c r="AT58" s="418"/>
      <c r="AU58" s="418"/>
      <c r="AV58" s="418"/>
      <c r="AW58" s="418"/>
      <c r="AX58" s="418">
        <v>14</v>
      </c>
      <c r="AY58" s="418"/>
      <c r="AZ58" s="418"/>
      <c r="BA58" s="418"/>
      <c r="BB58" s="418"/>
      <c r="BC58" s="418"/>
      <c r="BD58" s="418"/>
    </row>
    <row r="59" spans="2:86" ht="13.5" customHeight="1">
      <c r="G59" s="392">
        <v>24</v>
      </c>
      <c r="H59" s="392"/>
      <c r="I59" s="392"/>
      <c r="N59" s="6"/>
      <c r="O59" s="401">
        <v>9</v>
      </c>
      <c r="P59" s="397"/>
      <c r="Q59" s="397"/>
      <c r="R59" s="397"/>
      <c r="S59" s="397"/>
      <c r="T59" s="397"/>
      <c r="U59" s="397"/>
      <c r="V59" s="397">
        <v>392</v>
      </c>
      <c r="W59" s="397"/>
      <c r="X59" s="397"/>
      <c r="Y59" s="397"/>
      <c r="Z59" s="397"/>
      <c r="AA59" s="397"/>
      <c r="AB59" s="397"/>
      <c r="AC59" s="397">
        <f>SUM(AQ59:BD59)</f>
        <v>99</v>
      </c>
      <c r="AD59" s="397"/>
      <c r="AE59" s="397"/>
      <c r="AF59" s="397"/>
      <c r="AG59" s="397"/>
      <c r="AH59" s="397"/>
      <c r="AI59" s="397"/>
      <c r="AJ59" s="397">
        <v>11500</v>
      </c>
      <c r="AK59" s="397"/>
      <c r="AL59" s="397"/>
      <c r="AM59" s="397"/>
      <c r="AN59" s="397"/>
      <c r="AO59" s="397"/>
      <c r="AP59" s="397"/>
      <c r="AQ59" s="397">
        <v>98</v>
      </c>
      <c r="AR59" s="397"/>
      <c r="AS59" s="397"/>
      <c r="AT59" s="397"/>
      <c r="AU59" s="397"/>
      <c r="AV59" s="397"/>
      <c r="AW59" s="397"/>
      <c r="AX59" s="397">
        <v>1</v>
      </c>
      <c r="AY59" s="397"/>
      <c r="AZ59" s="397"/>
      <c r="BA59" s="397"/>
      <c r="BB59" s="397"/>
      <c r="BC59" s="397"/>
      <c r="BD59" s="397"/>
    </row>
    <row r="60" spans="2:86" ht="13.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2:86" ht="13.5" customHeight="1">
      <c r="B61" s="419" t="s">
        <v>9</v>
      </c>
      <c r="C61" s="419"/>
      <c r="D61" s="419"/>
      <c r="E61" s="58" t="s">
        <v>369</v>
      </c>
      <c r="F61" s="2" t="s">
        <v>50</v>
      </c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</row>
  </sheetData>
  <mergeCells count="223">
    <mergeCell ref="B61:D61"/>
    <mergeCell ref="O59:U59"/>
    <mergeCell ref="V59:AB59"/>
    <mergeCell ref="AC59:AI59"/>
    <mergeCell ref="AJ59:AP59"/>
    <mergeCell ref="AQ59:AW59"/>
    <mergeCell ref="G59:I59"/>
    <mergeCell ref="V57:AB57"/>
    <mergeCell ref="AC57:AI57"/>
    <mergeCell ref="AJ57:AP57"/>
    <mergeCell ref="AQ57:AW57"/>
    <mergeCell ref="G58:I58"/>
    <mergeCell ref="G57:I57"/>
    <mergeCell ref="U44:Z44"/>
    <mergeCell ref="AA44:AF44"/>
    <mergeCell ref="AG44:AL44"/>
    <mergeCell ref="AM44:AR44"/>
    <mergeCell ref="AS44:AX44"/>
    <mergeCell ref="AY44:BD44"/>
    <mergeCell ref="AX57:BD57"/>
    <mergeCell ref="AX59:BD59"/>
    <mergeCell ref="O58:U58"/>
    <mergeCell ref="V58:AB58"/>
    <mergeCell ref="AC58:AI58"/>
    <mergeCell ref="AJ58:AP58"/>
    <mergeCell ref="AQ58:AW58"/>
    <mergeCell ref="AX58:BD58"/>
    <mergeCell ref="Z53:AB53"/>
    <mergeCell ref="AN53:AP53"/>
    <mergeCell ref="V55:AB55"/>
    <mergeCell ref="AC55:AI55"/>
    <mergeCell ref="AJ55:AP55"/>
    <mergeCell ref="AQ55:AW55"/>
    <mergeCell ref="AX55:BD55"/>
    <mergeCell ref="O57:U57"/>
    <mergeCell ref="V52:AB52"/>
    <mergeCell ref="AC52:AI52"/>
    <mergeCell ref="AJ52:AP52"/>
    <mergeCell ref="AQ52:AW52"/>
    <mergeCell ref="AX52:BD52"/>
    <mergeCell ref="G56:I56"/>
    <mergeCell ref="O56:U56"/>
    <mergeCell ref="V56:AB56"/>
    <mergeCell ref="AC56:AI56"/>
    <mergeCell ref="AJ56:AP56"/>
    <mergeCell ref="AQ56:AW56"/>
    <mergeCell ref="AX56:BD56"/>
    <mergeCell ref="AA42:AF42"/>
    <mergeCell ref="AG42:AL42"/>
    <mergeCell ref="AM42:AR42"/>
    <mergeCell ref="AS42:AX42"/>
    <mergeCell ref="AY42:BD42"/>
    <mergeCell ref="G43:I43"/>
    <mergeCell ref="O43:T43"/>
    <mergeCell ref="U43:Z43"/>
    <mergeCell ref="AA43:AF43"/>
    <mergeCell ref="AG43:AL43"/>
    <mergeCell ref="AM43:AR43"/>
    <mergeCell ref="AS43:AX43"/>
    <mergeCell ref="AY43:BD43"/>
    <mergeCell ref="AA40:AF40"/>
    <mergeCell ref="AG40:AL40"/>
    <mergeCell ref="AM40:AR40"/>
    <mergeCell ref="AS40:AX40"/>
    <mergeCell ref="AY40:BD40"/>
    <mergeCell ref="G41:I41"/>
    <mergeCell ref="O41:T41"/>
    <mergeCell ref="U41:Z41"/>
    <mergeCell ref="AA41:AF41"/>
    <mergeCell ref="AG41:AL41"/>
    <mergeCell ref="AM41:AR41"/>
    <mergeCell ref="AS41:AX41"/>
    <mergeCell ref="AY41:BD41"/>
    <mergeCell ref="B32:D32"/>
    <mergeCell ref="B34:BJ34"/>
    <mergeCell ref="B36:N37"/>
    <mergeCell ref="O36:Z36"/>
    <mergeCell ref="AA36:BD36"/>
    <mergeCell ref="X38:Z38"/>
    <mergeCell ref="U37:Z37"/>
    <mergeCell ref="AA37:AF37"/>
    <mergeCell ref="AG37:AL37"/>
    <mergeCell ref="AM37:AR37"/>
    <mergeCell ref="C55:F55"/>
    <mergeCell ref="G55:I55"/>
    <mergeCell ref="J55:M55"/>
    <mergeCell ref="O55:U55"/>
    <mergeCell ref="O37:T37"/>
    <mergeCell ref="C40:F40"/>
    <mergeCell ref="G40:I40"/>
    <mergeCell ref="J40:M40"/>
    <mergeCell ref="O40:T40"/>
    <mergeCell ref="G42:I42"/>
    <mergeCell ref="O42:T42"/>
    <mergeCell ref="G44:I44"/>
    <mergeCell ref="O44:T44"/>
    <mergeCell ref="U40:Z40"/>
    <mergeCell ref="U42:Z42"/>
    <mergeCell ref="B46:D46"/>
    <mergeCell ref="B48:BJ48"/>
    <mergeCell ref="B50:N52"/>
    <mergeCell ref="O50:AB50"/>
    <mergeCell ref="AC50:BD50"/>
    <mergeCell ref="O51:AB51"/>
    <mergeCell ref="AC51:AP51"/>
    <mergeCell ref="AQ51:BD51"/>
    <mergeCell ref="O52:U52"/>
    <mergeCell ref="AA29:AF29"/>
    <mergeCell ref="AG29:AL29"/>
    <mergeCell ref="AM29:AR29"/>
    <mergeCell ref="AS29:AX29"/>
    <mergeCell ref="AY29:BD29"/>
    <mergeCell ref="BE29:BJ29"/>
    <mergeCell ref="U28:Z28"/>
    <mergeCell ref="AA28:AF28"/>
    <mergeCell ref="AS37:AX37"/>
    <mergeCell ref="AY37:BD37"/>
    <mergeCell ref="BE30:BJ30"/>
    <mergeCell ref="U30:Z30"/>
    <mergeCell ref="AA30:AF30"/>
    <mergeCell ref="AG30:AL30"/>
    <mergeCell ref="AM30:AR30"/>
    <mergeCell ref="AS30:AX30"/>
    <mergeCell ref="AY30:BD30"/>
    <mergeCell ref="G28:I28"/>
    <mergeCell ref="G29:I29"/>
    <mergeCell ref="G30:I30"/>
    <mergeCell ref="O26:T26"/>
    <mergeCell ref="O27:T27"/>
    <mergeCell ref="O28:T28"/>
    <mergeCell ref="O29:T29"/>
    <mergeCell ref="O30:T30"/>
    <mergeCell ref="BE26:BJ26"/>
    <mergeCell ref="U27:Z27"/>
    <mergeCell ref="AA27:AF27"/>
    <mergeCell ref="AG27:AL27"/>
    <mergeCell ref="AM27:AR27"/>
    <mergeCell ref="AS27:AX27"/>
    <mergeCell ref="AY27:BD27"/>
    <mergeCell ref="BE27:BJ27"/>
    <mergeCell ref="AG28:AL28"/>
    <mergeCell ref="AM28:AR28"/>
    <mergeCell ref="AS28:AX28"/>
    <mergeCell ref="AY28:BD28"/>
    <mergeCell ref="AS26:AX26"/>
    <mergeCell ref="AY26:BD26"/>
    <mergeCell ref="BE28:BJ28"/>
    <mergeCell ref="U29:Z29"/>
    <mergeCell ref="X24:Z24"/>
    <mergeCell ref="C26:F26"/>
    <mergeCell ref="J26:M26"/>
    <mergeCell ref="G26:I26"/>
    <mergeCell ref="U26:Z26"/>
    <mergeCell ref="AA26:AF26"/>
    <mergeCell ref="AG26:AL26"/>
    <mergeCell ref="AM26:AR26"/>
    <mergeCell ref="G27:I27"/>
    <mergeCell ref="B18:D18"/>
    <mergeCell ref="B20:BJ20"/>
    <mergeCell ref="B22:N23"/>
    <mergeCell ref="O23:T23"/>
    <mergeCell ref="U23:Z23"/>
    <mergeCell ref="AA23:AF23"/>
    <mergeCell ref="AG23:AL23"/>
    <mergeCell ref="AM23:AR23"/>
    <mergeCell ref="AS23:AX23"/>
    <mergeCell ref="AY23:BD23"/>
    <mergeCell ref="BE23:BJ23"/>
    <mergeCell ref="O22:Z22"/>
    <mergeCell ref="AA22:BJ22"/>
    <mergeCell ref="AU14:BB14"/>
    <mergeCell ref="BC14:BJ14"/>
    <mergeCell ref="W15:AD15"/>
    <mergeCell ref="AE15:AL15"/>
    <mergeCell ref="AM15:AT15"/>
    <mergeCell ref="AU15:BB15"/>
    <mergeCell ref="BC15:BJ15"/>
    <mergeCell ref="W16:AD16"/>
    <mergeCell ref="AE16:AL16"/>
    <mergeCell ref="AM16:AT16"/>
    <mergeCell ref="AU16:BB16"/>
    <mergeCell ref="BC16:BJ16"/>
    <mergeCell ref="G14:I14"/>
    <mergeCell ref="G15:I15"/>
    <mergeCell ref="G16:I16"/>
    <mergeCell ref="O12:V12"/>
    <mergeCell ref="O13:V13"/>
    <mergeCell ref="O14:V14"/>
    <mergeCell ref="O15:V15"/>
    <mergeCell ref="O16:V16"/>
    <mergeCell ref="AM12:AT12"/>
    <mergeCell ref="W13:AD13"/>
    <mergeCell ref="AE13:AL13"/>
    <mergeCell ref="AM13:AT13"/>
    <mergeCell ref="W14:AD14"/>
    <mergeCell ref="AE14:AL14"/>
    <mergeCell ref="AM14:AT14"/>
    <mergeCell ref="AB10:AD10"/>
    <mergeCell ref="AR10:AT10"/>
    <mergeCell ref="BH10:BJ10"/>
    <mergeCell ref="C12:F12"/>
    <mergeCell ref="J12:M12"/>
    <mergeCell ref="G12:I12"/>
    <mergeCell ref="W12:AD12"/>
    <mergeCell ref="AE12:AL12"/>
    <mergeCell ref="G13:I13"/>
    <mergeCell ref="AU12:BB12"/>
    <mergeCell ref="BC12:BJ12"/>
    <mergeCell ref="AU13:BB13"/>
    <mergeCell ref="BC13:BJ13"/>
    <mergeCell ref="A1:S2"/>
    <mergeCell ref="B5:BJ5"/>
    <mergeCell ref="B6:BJ6"/>
    <mergeCell ref="B8:N9"/>
    <mergeCell ref="O9:V9"/>
    <mergeCell ref="W9:AD9"/>
    <mergeCell ref="AE9:AL9"/>
    <mergeCell ref="AM9:AT9"/>
    <mergeCell ref="AU9:BB9"/>
    <mergeCell ref="BC9:BJ9"/>
    <mergeCell ref="O8:AD8"/>
    <mergeCell ref="AE8:AT8"/>
    <mergeCell ref="AU8:BJ8"/>
  </mergeCells>
  <phoneticPr fontId="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Q67"/>
  <sheetViews>
    <sheetView view="pageBreakPreview" zoomScaleNormal="100" zoomScaleSheetLayoutView="100" workbookViewId="0"/>
  </sheetViews>
  <sheetFormatPr defaultRowHeight="13.5"/>
  <cols>
    <col min="1" max="1" width="1" style="15" customWidth="1"/>
    <col min="2" max="69" width="1.625" style="15" customWidth="1"/>
    <col min="70" max="16384" width="9" style="15"/>
  </cols>
  <sheetData>
    <row r="1" spans="2:69" ht="11.1" customHeight="1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444">
        <f>'186'!A1+1</f>
        <v>187</v>
      </c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  <c r="BL1" s="200"/>
      <c r="BM1" s="200"/>
      <c r="BN1" s="200"/>
      <c r="BO1" s="200"/>
      <c r="BP1" s="200"/>
      <c r="BQ1" s="200"/>
    </row>
    <row r="2" spans="2:69" ht="11.1" customHeight="1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  <c r="BL2" s="200"/>
      <c r="BM2" s="200"/>
      <c r="BN2" s="200"/>
      <c r="BO2" s="200"/>
      <c r="BP2" s="200"/>
      <c r="BQ2" s="200"/>
    </row>
    <row r="3" spans="2:69" ht="11.1" customHeight="1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200"/>
      <c r="BM3" s="200"/>
      <c r="BN3" s="200"/>
      <c r="BO3" s="200"/>
      <c r="BP3" s="200"/>
      <c r="BQ3" s="200"/>
    </row>
    <row r="4" spans="2:69" ht="11.1" customHeight="1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200"/>
      <c r="BM4" s="200"/>
      <c r="BN4" s="200"/>
      <c r="BO4" s="200"/>
      <c r="BP4" s="200"/>
      <c r="BQ4" s="200"/>
    </row>
    <row r="5" spans="2:69" ht="18" customHeight="1">
      <c r="B5" s="448" t="s">
        <v>388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448"/>
      <c r="AR5" s="448"/>
      <c r="AS5" s="448"/>
      <c r="AT5" s="448"/>
      <c r="AU5" s="448"/>
      <c r="AV5" s="448"/>
      <c r="AW5" s="448"/>
      <c r="AX5" s="448"/>
      <c r="AY5" s="448"/>
      <c r="AZ5" s="448"/>
      <c r="BA5" s="448"/>
      <c r="BB5" s="448"/>
      <c r="BC5" s="448"/>
      <c r="BD5" s="448"/>
      <c r="BE5" s="448"/>
      <c r="BF5" s="448"/>
      <c r="BG5" s="448"/>
      <c r="BH5" s="448"/>
      <c r="BI5" s="448"/>
      <c r="BJ5" s="448"/>
    </row>
    <row r="6" spans="2:69" ht="12.95" customHeight="1">
      <c r="B6" s="436" t="s">
        <v>0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</row>
    <row r="7" spans="2:69" ht="12.9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</row>
    <row r="8" spans="2:69">
      <c r="B8" s="431" t="s">
        <v>1</v>
      </c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 t="s">
        <v>2</v>
      </c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 t="s">
        <v>3</v>
      </c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 t="s">
        <v>4</v>
      </c>
      <c r="AV8" s="432"/>
      <c r="AW8" s="432"/>
      <c r="AX8" s="432"/>
      <c r="AY8" s="432"/>
      <c r="AZ8" s="432"/>
      <c r="BA8" s="432"/>
      <c r="BB8" s="432"/>
      <c r="BC8" s="432"/>
      <c r="BD8" s="432"/>
      <c r="BE8" s="432"/>
      <c r="BF8" s="432"/>
      <c r="BG8" s="432"/>
      <c r="BH8" s="432"/>
      <c r="BI8" s="432"/>
      <c r="BJ8" s="449"/>
    </row>
    <row r="9" spans="2:69">
      <c r="B9" s="433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 t="s">
        <v>5</v>
      </c>
      <c r="P9" s="434"/>
      <c r="Q9" s="434"/>
      <c r="R9" s="434"/>
      <c r="S9" s="434"/>
      <c r="T9" s="434"/>
      <c r="U9" s="434"/>
      <c r="V9" s="434"/>
      <c r="W9" s="434" t="s">
        <v>6</v>
      </c>
      <c r="X9" s="434"/>
      <c r="Y9" s="434"/>
      <c r="Z9" s="434"/>
      <c r="AA9" s="434"/>
      <c r="AB9" s="434"/>
      <c r="AC9" s="434"/>
      <c r="AD9" s="434"/>
      <c r="AE9" s="434" t="s">
        <v>5</v>
      </c>
      <c r="AF9" s="434"/>
      <c r="AG9" s="434"/>
      <c r="AH9" s="434"/>
      <c r="AI9" s="434"/>
      <c r="AJ9" s="434"/>
      <c r="AK9" s="434"/>
      <c r="AL9" s="434"/>
      <c r="AM9" s="434" t="s">
        <v>6</v>
      </c>
      <c r="AN9" s="434"/>
      <c r="AO9" s="434"/>
      <c r="AP9" s="434"/>
      <c r="AQ9" s="434"/>
      <c r="AR9" s="434"/>
      <c r="AS9" s="434"/>
      <c r="AT9" s="434"/>
      <c r="AU9" s="434" t="s">
        <v>5</v>
      </c>
      <c r="AV9" s="434"/>
      <c r="AW9" s="434"/>
      <c r="AX9" s="434"/>
      <c r="AY9" s="434"/>
      <c r="AZ9" s="434"/>
      <c r="BA9" s="434"/>
      <c r="BB9" s="434"/>
      <c r="BC9" s="434" t="s">
        <v>6</v>
      </c>
      <c r="BD9" s="434"/>
      <c r="BE9" s="434"/>
      <c r="BF9" s="434"/>
      <c r="BG9" s="434"/>
      <c r="BH9" s="434"/>
      <c r="BI9" s="434"/>
      <c r="BJ9" s="450"/>
    </row>
    <row r="10" spans="2:69">
      <c r="N10" s="24"/>
    </row>
    <row r="11" spans="2:69">
      <c r="C11" s="435" t="s">
        <v>7</v>
      </c>
      <c r="D11" s="435"/>
      <c r="E11" s="435"/>
      <c r="F11" s="435"/>
      <c r="G11" s="436">
        <v>20</v>
      </c>
      <c r="H11" s="436"/>
      <c r="I11" s="436"/>
      <c r="J11" s="435" t="s">
        <v>1</v>
      </c>
      <c r="K11" s="435"/>
      <c r="L11" s="435"/>
      <c r="M11" s="435"/>
      <c r="N11" s="25"/>
      <c r="O11" s="453">
        <v>67</v>
      </c>
      <c r="P11" s="453"/>
      <c r="Q11" s="453"/>
      <c r="R11" s="453"/>
      <c r="S11" s="453"/>
      <c r="T11" s="453"/>
      <c r="U11" s="453"/>
      <c r="V11" s="453"/>
      <c r="W11" s="453">
        <v>1036</v>
      </c>
      <c r="X11" s="453"/>
      <c r="Y11" s="453"/>
      <c r="Z11" s="453"/>
      <c r="AA11" s="453"/>
      <c r="AB11" s="453"/>
      <c r="AC11" s="453"/>
      <c r="AD11" s="453"/>
      <c r="AE11" s="456">
        <v>5</v>
      </c>
      <c r="AF11" s="456"/>
      <c r="AG11" s="456"/>
      <c r="AH11" s="456"/>
      <c r="AI11" s="456"/>
      <c r="AJ11" s="456"/>
      <c r="AK11" s="456"/>
      <c r="AL11" s="456"/>
      <c r="AM11" s="456">
        <v>531</v>
      </c>
      <c r="AN11" s="456"/>
      <c r="AO11" s="456"/>
      <c r="AP11" s="456"/>
      <c r="AQ11" s="456"/>
      <c r="AR11" s="456"/>
      <c r="AS11" s="456"/>
      <c r="AT11" s="456"/>
      <c r="AU11" s="456">
        <v>294</v>
      </c>
      <c r="AV11" s="456"/>
      <c r="AW11" s="456"/>
      <c r="AX11" s="456"/>
      <c r="AY11" s="456"/>
      <c r="AZ11" s="456"/>
      <c r="BA11" s="456"/>
      <c r="BB11" s="456"/>
      <c r="BC11" s="456">
        <v>6127</v>
      </c>
      <c r="BD11" s="456"/>
      <c r="BE11" s="456"/>
      <c r="BF11" s="456"/>
      <c r="BG11" s="456"/>
      <c r="BH11" s="456"/>
      <c r="BI11" s="456"/>
      <c r="BJ11" s="456"/>
    </row>
    <row r="12" spans="2:69">
      <c r="G12" s="436">
        <v>21</v>
      </c>
      <c r="H12" s="436"/>
      <c r="I12" s="436"/>
      <c r="N12" s="25"/>
      <c r="O12" s="453">
        <v>97</v>
      </c>
      <c r="P12" s="453"/>
      <c r="Q12" s="453"/>
      <c r="R12" s="453"/>
      <c r="S12" s="453"/>
      <c r="T12" s="453"/>
      <c r="U12" s="453"/>
      <c r="V12" s="453"/>
      <c r="W12" s="453">
        <v>1754</v>
      </c>
      <c r="X12" s="453"/>
      <c r="Y12" s="453"/>
      <c r="Z12" s="453"/>
      <c r="AA12" s="453"/>
      <c r="AB12" s="453"/>
      <c r="AC12" s="453"/>
      <c r="AD12" s="453"/>
      <c r="AE12" s="456">
        <v>2</v>
      </c>
      <c r="AF12" s="456"/>
      <c r="AG12" s="456"/>
      <c r="AH12" s="456"/>
      <c r="AI12" s="456"/>
      <c r="AJ12" s="456"/>
      <c r="AK12" s="456"/>
      <c r="AL12" s="456"/>
      <c r="AM12" s="456">
        <v>254</v>
      </c>
      <c r="AN12" s="456"/>
      <c r="AO12" s="456"/>
      <c r="AP12" s="456"/>
      <c r="AQ12" s="456"/>
      <c r="AR12" s="456"/>
      <c r="AS12" s="456"/>
      <c r="AT12" s="456"/>
      <c r="AU12" s="456">
        <v>299</v>
      </c>
      <c r="AV12" s="456"/>
      <c r="AW12" s="456"/>
      <c r="AX12" s="456"/>
      <c r="AY12" s="456"/>
      <c r="AZ12" s="456"/>
      <c r="BA12" s="456"/>
      <c r="BB12" s="456"/>
      <c r="BC12" s="456">
        <v>7672</v>
      </c>
      <c r="BD12" s="456"/>
      <c r="BE12" s="456"/>
      <c r="BF12" s="456"/>
      <c r="BG12" s="456"/>
      <c r="BH12" s="456"/>
      <c r="BI12" s="456"/>
      <c r="BJ12" s="456"/>
    </row>
    <row r="13" spans="2:69">
      <c r="G13" s="436">
        <v>22</v>
      </c>
      <c r="H13" s="436"/>
      <c r="I13" s="436"/>
      <c r="N13" s="25"/>
      <c r="O13" s="457">
        <v>110</v>
      </c>
      <c r="P13" s="457"/>
      <c r="Q13" s="457"/>
      <c r="R13" s="457"/>
      <c r="S13" s="457"/>
      <c r="T13" s="457"/>
      <c r="U13" s="457"/>
      <c r="V13" s="457"/>
      <c r="W13" s="457">
        <v>1902</v>
      </c>
      <c r="X13" s="457"/>
      <c r="Y13" s="457"/>
      <c r="Z13" s="457"/>
      <c r="AA13" s="457"/>
      <c r="AB13" s="457"/>
      <c r="AC13" s="457"/>
      <c r="AD13" s="457"/>
      <c r="AE13" s="456">
        <v>2</v>
      </c>
      <c r="AF13" s="456"/>
      <c r="AG13" s="456"/>
      <c r="AH13" s="456"/>
      <c r="AI13" s="456"/>
      <c r="AJ13" s="456"/>
      <c r="AK13" s="456"/>
      <c r="AL13" s="456"/>
      <c r="AM13" s="456">
        <v>50</v>
      </c>
      <c r="AN13" s="456"/>
      <c r="AO13" s="456"/>
      <c r="AP13" s="456"/>
      <c r="AQ13" s="456"/>
      <c r="AR13" s="456"/>
      <c r="AS13" s="456"/>
      <c r="AT13" s="456"/>
      <c r="AU13" s="456">
        <v>332</v>
      </c>
      <c r="AV13" s="456"/>
      <c r="AW13" s="456"/>
      <c r="AX13" s="456"/>
      <c r="AY13" s="456"/>
      <c r="AZ13" s="456"/>
      <c r="BA13" s="456"/>
      <c r="BB13" s="456"/>
      <c r="BC13" s="456">
        <v>7031</v>
      </c>
      <c r="BD13" s="456"/>
      <c r="BE13" s="456"/>
      <c r="BF13" s="456"/>
      <c r="BG13" s="456"/>
      <c r="BH13" s="456"/>
      <c r="BI13" s="456"/>
      <c r="BJ13" s="456"/>
    </row>
    <row r="14" spans="2:69">
      <c r="G14" s="436">
        <v>23</v>
      </c>
      <c r="H14" s="436"/>
      <c r="I14" s="436"/>
      <c r="N14" s="25"/>
      <c r="O14" s="457">
        <v>129</v>
      </c>
      <c r="P14" s="457"/>
      <c r="Q14" s="457"/>
      <c r="R14" s="457"/>
      <c r="S14" s="457"/>
      <c r="T14" s="457"/>
      <c r="U14" s="457"/>
      <c r="V14" s="457"/>
      <c r="W14" s="457">
        <v>2448</v>
      </c>
      <c r="X14" s="457"/>
      <c r="Y14" s="457"/>
      <c r="Z14" s="457"/>
      <c r="AA14" s="457"/>
      <c r="AB14" s="457"/>
      <c r="AC14" s="457"/>
      <c r="AD14" s="457"/>
      <c r="AE14" s="456">
        <v>3</v>
      </c>
      <c r="AF14" s="456"/>
      <c r="AG14" s="456"/>
      <c r="AH14" s="456"/>
      <c r="AI14" s="456"/>
      <c r="AJ14" s="456"/>
      <c r="AK14" s="456"/>
      <c r="AL14" s="456"/>
      <c r="AM14" s="456">
        <v>71</v>
      </c>
      <c r="AN14" s="456"/>
      <c r="AO14" s="456"/>
      <c r="AP14" s="456"/>
      <c r="AQ14" s="456"/>
      <c r="AR14" s="456"/>
      <c r="AS14" s="456"/>
      <c r="AT14" s="456"/>
      <c r="AU14" s="457">
        <v>318</v>
      </c>
      <c r="AV14" s="457"/>
      <c r="AW14" s="457"/>
      <c r="AX14" s="457"/>
      <c r="AY14" s="457"/>
      <c r="AZ14" s="457"/>
      <c r="BA14" s="457"/>
      <c r="BB14" s="457"/>
      <c r="BC14" s="457">
        <v>8923</v>
      </c>
      <c r="BD14" s="457"/>
      <c r="BE14" s="457"/>
      <c r="BF14" s="457"/>
      <c r="BG14" s="457"/>
      <c r="BH14" s="457"/>
      <c r="BI14" s="457"/>
      <c r="BJ14" s="457"/>
    </row>
    <row r="15" spans="2:69">
      <c r="G15" s="437">
        <v>24</v>
      </c>
      <c r="H15" s="437"/>
      <c r="I15" s="437"/>
      <c r="N15" s="25"/>
      <c r="O15" s="454">
        <v>117</v>
      </c>
      <c r="P15" s="454"/>
      <c r="Q15" s="454"/>
      <c r="R15" s="454"/>
      <c r="S15" s="454"/>
      <c r="T15" s="454"/>
      <c r="U15" s="454"/>
      <c r="V15" s="454"/>
      <c r="W15" s="454">
        <v>2110</v>
      </c>
      <c r="X15" s="454"/>
      <c r="Y15" s="454"/>
      <c r="Z15" s="454"/>
      <c r="AA15" s="454"/>
      <c r="AB15" s="454"/>
      <c r="AC15" s="454"/>
      <c r="AD15" s="454"/>
      <c r="AE15" s="445">
        <v>2</v>
      </c>
      <c r="AF15" s="445"/>
      <c r="AG15" s="445"/>
      <c r="AH15" s="445"/>
      <c r="AI15" s="445"/>
      <c r="AJ15" s="445"/>
      <c r="AK15" s="445"/>
      <c r="AL15" s="445"/>
      <c r="AM15" s="445">
        <v>97</v>
      </c>
      <c r="AN15" s="445"/>
      <c r="AO15" s="445"/>
      <c r="AP15" s="445"/>
      <c r="AQ15" s="445"/>
      <c r="AR15" s="445"/>
      <c r="AS15" s="445"/>
      <c r="AT15" s="445"/>
      <c r="AU15" s="454">
        <v>297</v>
      </c>
      <c r="AV15" s="454"/>
      <c r="AW15" s="454"/>
      <c r="AX15" s="454"/>
      <c r="AY15" s="454"/>
      <c r="AZ15" s="454"/>
      <c r="BA15" s="454"/>
      <c r="BB15" s="454"/>
      <c r="BC15" s="454">
        <v>8475</v>
      </c>
      <c r="BD15" s="454"/>
      <c r="BE15" s="454"/>
      <c r="BF15" s="454"/>
      <c r="BG15" s="454"/>
      <c r="BH15" s="454"/>
      <c r="BI15" s="454"/>
      <c r="BJ15" s="454"/>
    </row>
    <row r="16" spans="2:69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spans="2:62">
      <c r="B17" s="455" t="s">
        <v>9</v>
      </c>
      <c r="C17" s="455"/>
      <c r="D17" s="455"/>
      <c r="E17" s="17" t="s">
        <v>127</v>
      </c>
      <c r="F17" s="18" t="s">
        <v>125</v>
      </c>
    </row>
    <row r="19" spans="2:62" ht="12.95" customHeight="1">
      <c r="B19" s="436" t="s">
        <v>11</v>
      </c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  <c r="BI19" s="436"/>
      <c r="BJ19" s="436"/>
    </row>
    <row r="20" spans="2:62" ht="12.95" customHeight="1">
      <c r="BJ20" s="19"/>
    </row>
    <row r="21" spans="2:62" ht="13.5" customHeight="1">
      <c r="B21" s="431" t="s">
        <v>1</v>
      </c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1" t="s">
        <v>416</v>
      </c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 t="s">
        <v>12</v>
      </c>
      <c r="AF21" s="432"/>
      <c r="AG21" s="432"/>
      <c r="AH21" s="432"/>
      <c r="AI21" s="432"/>
      <c r="AJ21" s="432"/>
      <c r="AK21" s="432"/>
      <c r="AL21" s="432"/>
      <c r="AM21" s="432"/>
      <c r="AN21" s="432"/>
      <c r="AO21" s="432"/>
      <c r="AP21" s="432"/>
      <c r="AQ21" s="432"/>
      <c r="AR21" s="432"/>
      <c r="AS21" s="432"/>
      <c r="AT21" s="432"/>
      <c r="AU21" s="432" t="s">
        <v>13</v>
      </c>
      <c r="AV21" s="432"/>
      <c r="AW21" s="432"/>
      <c r="AX21" s="432"/>
      <c r="AY21" s="432"/>
      <c r="AZ21" s="432"/>
      <c r="BA21" s="432"/>
      <c r="BB21" s="432"/>
      <c r="BC21" s="432"/>
      <c r="BD21" s="432"/>
      <c r="BE21" s="432"/>
      <c r="BF21" s="432"/>
      <c r="BG21" s="432"/>
      <c r="BH21" s="432"/>
      <c r="BI21" s="432"/>
      <c r="BJ21" s="449"/>
    </row>
    <row r="22" spans="2:62" ht="13.5" customHeight="1">
      <c r="B22" s="433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3" t="s">
        <v>14</v>
      </c>
      <c r="P22" s="434"/>
      <c r="Q22" s="434"/>
      <c r="R22" s="434"/>
      <c r="S22" s="434"/>
      <c r="T22" s="434"/>
      <c r="U22" s="434"/>
      <c r="V22" s="434"/>
      <c r="W22" s="434" t="s">
        <v>15</v>
      </c>
      <c r="X22" s="434"/>
      <c r="Y22" s="434"/>
      <c r="Z22" s="434"/>
      <c r="AA22" s="434"/>
      <c r="AB22" s="434"/>
      <c r="AC22" s="434"/>
      <c r="AD22" s="434"/>
      <c r="AE22" s="434" t="s">
        <v>14</v>
      </c>
      <c r="AF22" s="434"/>
      <c r="AG22" s="434"/>
      <c r="AH22" s="434"/>
      <c r="AI22" s="434"/>
      <c r="AJ22" s="434"/>
      <c r="AK22" s="434"/>
      <c r="AL22" s="434"/>
      <c r="AM22" s="434" t="s">
        <v>15</v>
      </c>
      <c r="AN22" s="434"/>
      <c r="AO22" s="434"/>
      <c r="AP22" s="434"/>
      <c r="AQ22" s="434"/>
      <c r="AR22" s="434"/>
      <c r="AS22" s="434"/>
      <c r="AT22" s="434"/>
      <c r="AU22" s="434" t="s">
        <v>14</v>
      </c>
      <c r="AV22" s="434"/>
      <c r="AW22" s="434"/>
      <c r="AX22" s="434"/>
      <c r="AY22" s="434"/>
      <c r="AZ22" s="434"/>
      <c r="BA22" s="434"/>
      <c r="BB22" s="434"/>
      <c r="BC22" s="434" t="s">
        <v>15</v>
      </c>
      <c r="BD22" s="434"/>
      <c r="BE22" s="434"/>
      <c r="BF22" s="434"/>
      <c r="BG22" s="434"/>
      <c r="BH22" s="434"/>
      <c r="BI22" s="434"/>
      <c r="BJ22" s="450"/>
    </row>
    <row r="23" spans="2:62">
      <c r="N23" s="24"/>
    </row>
    <row r="24" spans="2:62" s="140" customFormat="1" ht="12" customHeight="1">
      <c r="B24" s="15"/>
      <c r="C24" s="435" t="s">
        <v>7</v>
      </c>
      <c r="D24" s="435"/>
      <c r="E24" s="435"/>
      <c r="F24" s="435"/>
      <c r="G24" s="436">
        <v>20</v>
      </c>
      <c r="H24" s="436"/>
      <c r="I24" s="436"/>
      <c r="J24" s="435" t="s">
        <v>1</v>
      </c>
      <c r="K24" s="435"/>
      <c r="L24" s="435"/>
      <c r="M24" s="435"/>
      <c r="N24" s="25"/>
      <c r="O24" s="418">
        <v>6987</v>
      </c>
      <c r="P24" s="418"/>
      <c r="Q24" s="418"/>
      <c r="R24" s="418"/>
      <c r="S24" s="418"/>
      <c r="T24" s="418"/>
      <c r="U24" s="418"/>
      <c r="V24" s="418"/>
      <c r="W24" s="418">
        <v>153441</v>
      </c>
      <c r="X24" s="418"/>
      <c r="Y24" s="418"/>
      <c r="Z24" s="418"/>
      <c r="AA24" s="418"/>
      <c r="AB24" s="418"/>
      <c r="AC24" s="418"/>
      <c r="AD24" s="418"/>
      <c r="AE24" s="418">
        <v>7496</v>
      </c>
      <c r="AF24" s="418"/>
      <c r="AG24" s="418"/>
      <c r="AH24" s="418"/>
      <c r="AI24" s="418"/>
      <c r="AJ24" s="418"/>
      <c r="AK24" s="418"/>
      <c r="AL24" s="418"/>
      <c r="AM24" s="418">
        <v>137021</v>
      </c>
      <c r="AN24" s="418"/>
      <c r="AO24" s="418"/>
      <c r="AP24" s="418"/>
      <c r="AQ24" s="418"/>
      <c r="AR24" s="418"/>
      <c r="AS24" s="418"/>
      <c r="AT24" s="418"/>
      <c r="AU24" s="418">
        <v>1974</v>
      </c>
      <c r="AV24" s="418"/>
      <c r="AW24" s="418"/>
      <c r="AX24" s="418"/>
      <c r="AY24" s="418"/>
      <c r="AZ24" s="418"/>
      <c r="BA24" s="418"/>
      <c r="BB24" s="418"/>
      <c r="BC24" s="418">
        <v>396516</v>
      </c>
      <c r="BD24" s="418"/>
      <c r="BE24" s="418"/>
      <c r="BF24" s="418"/>
      <c r="BG24" s="418"/>
      <c r="BH24" s="418"/>
      <c r="BI24" s="418"/>
      <c r="BJ24" s="418"/>
    </row>
    <row r="25" spans="2:62" s="140" customFormat="1" ht="12" customHeight="1">
      <c r="B25" s="15"/>
      <c r="C25" s="15"/>
      <c r="D25" s="15"/>
      <c r="E25" s="15"/>
      <c r="F25" s="15"/>
      <c r="G25" s="436">
        <v>21</v>
      </c>
      <c r="H25" s="436"/>
      <c r="I25" s="436"/>
      <c r="J25" s="15"/>
      <c r="K25" s="15"/>
      <c r="L25" s="15"/>
      <c r="M25" s="15"/>
      <c r="N25" s="25"/>
      <c r="O25" s="418">
        <v>7648</v>
      </c>
      <c r="P25" s="418"/>
      <c r="Q25" s="418"/>
      <c r="R25" s="418"/>
      <c r="S25" s="418"/>
      <c r="T25" s="418"/>
      <c r="U25" s="418"/>
      <c r="V25" s="418"/>
      <c r="W25" s="418">
        <v>158958</v>
      </c>
      <c r="X25" s="418"/>
      <c r="Y25" s="418"/>
      <c r="Z25" s="418"/>
      <c r="AA25" s="418"/>
      <c r="AB25" s="418"/>
      <c r="AC25" s="418"/>
      <c r="AD25" s="418"/>
      <c r="AE25" s="418">
        <v>9167</v>
      </c>
      <c r="AF25" s="418"/>
      <c r="AG25" s="418"/>
      <c r="AH25" s="418"/>
      <c r="AI25" s="418"/>
      <c r="AJ25" s="418"/>
      <c r="AK25" s="418"/>
      <c r="AL25" s="418"/>
      <c r="AM25" s="418">
        <v>181887</v>
      </c>
      <c r="AN25" s="418"/>
      <c r="AO25" s="418"/>
      <c r="AP25" s="418"/>
      <c r="AQ25" s="418"/>
      <c r="AR25" s="418"/>
      <c r="AS25" s="418"/>
      <c r="AT25" s="418"/>
      <c r="AU25" s="418">
        <v>1166</v>
      </c>
      <c r="AV25" s="418"/>
      <c r="AW25" s="418"/>
      <c r="AX25" s="418"/>
      <c r="AY25" s="418"/>
      <c r="AZ25" s="418"/>
      <c r="BA25" s="418"/>
      <c r="BB25" s="418"/>
      <c r="BC25" s="418">
        <v>384155</v>
      </c>
      <c r="BD25" s="418"/>
      <c r="BE25" s="418"/>
      <c r="BF25" s="418"/>
      <c r="BG25" s="418"/>
      <c r="BH25" s="418"/>
      <c r="BI25" s="418"/>
      <c r="BJ25" s="418"/>
    </row>
    <row r="26" spans="2:62" s="140" customFormat="1" ht="12.95" customHeight="1">
      <c r="B26" s="15"/>
      <c r="C26" s="15"/>
      <c r="D26" s="15"/>
      <c r="E26" s="15"/>
      <c r="F26" s="15"/>
      <c r="G26" s="436">
        <v>22</v>
      </c>
      <c r="H26" s="436"/>
      <c r="I26" s="436"/>
      <c r="J26" s="15"/>
      <c r="K26" s="15"/>
      <c r="L26" s="15"/>
      <c r="M26" s="15"/>
      <c r="N26" s="25"/>
      <c r="O26" s="414">
        <v>8351</v>
      </c>
      <c r="P26" s="414"/>
      <c r="Q26" s="414"/>
      <c r="R26" s="414"/>
      <c r="S26" s="414"/>
      <c r="T26" s="414"/>
      <c r="U26" s="414"/>
      <c r="V26" s="414"/>
      <c r="W26" s="414">
        <v>174018</v>
      </c>
      <c r="X26" s="414"/>
      <c r="Y26" s="414"/>
      <c r="Z26" s="441"/>
      <c r="AA26" s="414"/>
      <c r="AB26" s="414"/>
      <c r="AC26" s="414"/>
      <c r="AD26" s="414"/>
      <c r="AE26" s="414">
        <v>11710</v>
      </c>
      <c r="AF26" s="442"/>
      <c r="AG26" s="414"/>
      <c r="AH26" s="414"/>
      <c r="AI26" s="414"/>
      <c r="AJ26" s="414"/>
      <c r="AK26" s="414"/>
      <c r="AL26" s="414"/>
      <c r="AM26" s="414">
        <v>203174</v>
      </c>
      <c r="AN26" s="414"/>
      <c r="AO26" s="414"/>
      <c r="AP26" s="414"/>
      <c r="AQ26" s="414"/>
      <c r="AR26" s="414"/>
      <c r="AS26" s="414"/>
      <c r="AT26" s="414"/>
      <c r="AU26" s="414">
        <v>1153</v>
      </c>
      <c r="AV26" s="414"/>
      <c r="AW26" s="414"/>
      <c r="AX26" s="414"/>
      <c r="AY26" s="414"/>
      <c r="AZ26" s="414"/>
      <c r="BA26" s="414"/>
      <c r="BB26" s="414"/>
      <c r="BC26" s="414">
        <v>390477</v>
      </c>
      <c r="BD26" s="414"/>
      <c r="BE26" s="414"/>
      <c r="BF26" s="443"/>
      <c r="BG26" s="443"/>
      <c r="BH26" s="443"/>
      <c r="BI26" s="443"/>
      <c r="BJ26" s="443"/>
    </row>
    <row r="27" spans="2:62">
      <c r="G27" s="436">
        <v>23</v>
      </c>
      <c r="H27" s="436"/>
      <c r="I27" s="436"/>
      <c r="N27" s="25"/>
      <c r="O27" s="438">
        <v>8860</v>
      </c>
      <c r="P27" s="438"/>
      <c r="Q27" s="438"/>
      <c r="R27" s="438"/>
      <c r="S27" s="438"/>
      <c r="T27" s="438"/>
      <c r="U27" s="438"/>
      <c r="V27" s="438"/>
      <c r="W27" s="438">
        <v>179376</v>
      </c>
      <c r="X27" s="438"/>
      <c r="Y27" s="438"/>
      <c r="Z27" s="438"/>
      <c r="AA27" s="438"/>
      <c r="AB27" s="438"/>
      <c r="AC27" s="438"/>
      <c r="AD27" s="438"/>
      <c r="AE27" s="438">
        <v>10196</v>
      </c>
      <c r="AF27" s="438"/>
      <c r="AG27" s="438"/>
      <c r="AH27" s="438"/>
      <c r="AI27" s="438"/>
      <c r="AJ27" s="438"/>
      <c r="AK27" s="438"/>
      <c r="AL27" s="438"/>
      <c r="AM27" s="438">
        <v>201831</v>
      </c>
      <c r="AN27" s="438"/>
      <c r="AO27" s="438"/>
      <c r="AP27" s="438"/>
      <c r="AQ27" s="438"/>
      <c r="AR27" s="438"/>
      <c r="AS27" s="438"/>
      <c r="AT27" s="438"/>
      <c r="AU27" s="438">
        <v>1148</v>
      </c>
      <c r="AV27" s="438"/>
      <c r="AW27" s="438"/>
      <c r="AX27" s="438"/>
      <c r="AY27" s="438"/>
      <c r="AZ27" s="438"/>
      <c r="BA27" s="438"/>
      <c r="BB27" s="438"/>
      <c r="BC27" s="438">
        <v>409524</v>
      </c>
      <c r="BD27" s="438"/>
      <c r="BE27" s="438"/>
      <c r="BF27" s="438"/>
      <c r="BG27" s="438"/>
      <c r="BH27" s="438"/>
      <c r="BI27" s="438"/>
      <c r="BJ27" s="438"/>
    </row>
    <row r="28" spans="2:62" ht="13.5" customHeight="1">
      <c r="G28" s="437">
        <v>24</v>
      </c>
      <c r="H28" s="437"/>
      <c r="I28" s="437"/>
      <c r="N28" s="25"/>
      <c r="O28" s="439">
        <v>9224</v>
      </c>
      <c r="P28" s="440"/>
      <c r="Q28" s="440"/>
      <c r="R28" s="440"/>
      <c r="S28" s="440"/>
      <c r="T28" s="440"/>
      <c r="U28" s="440"/>
      <c r="V28" s="440"/>
      <c r="W28" s="440">
        <v>189567</v>
      </c>
      <c r="X28" s="440"/>
      <c r="Y28" s="440"/>
      <c r="Z28" s="440"/>
      <c r="AA28" s="440"/>
      <c r="AB28" s="440"/>
      <c r="AC28" s="440"/>
      <c r="AD28" s="440"/>
      <c r="AE28" s="440">
        <v>9364</v>
      </c>
      <c r="AF28" s="440"/>
      <c r="AG28" s="440"/>
      <c r="AH28" s="440"/>
      <c r="AI28" s="440"/>
      <c r="AJ28" s="440"/>
      <c r="AK28" s="440"/>
      <c r="AL28" s="440"/>
      <c r="AM28" s="440">
        <v>150521</v>
      </c>
      <c r="AN28" s="440"/>
      <c r="AO28" s="440"/>
      <c r="AP28" s="440"/>
      <c r="AQ28" s="440"/>
      <c r="AR28" s="440"/>
      <c r="AS28" s="440"/>
      <c r="AT28" s="440"/>
      <c r="AU28" s="440">
        <v>1228</v>
      </c>
      <c r="AV28" s="440"/>
      <c r="AW28" s="440"/>
      <c r="AX28" s="440"/>
      <c r="AY28" s="440"/>
      <c r="AZ28" s="440"/>
      <c r="BA28" s="440"/>
      <c r="BB28" s="440"/>
      <c r="BC28" s="440">
        <v>416259</v>
      </c>
      <c r="BD28" s="440"/>
      <c r="BE28" s="440"/>
      <c r="BF28" s="440"/>
      <c r="BG28" s="440"/>
      <c r="BH28" s="440"/>
      <c r="BI28" s="440"/>
      <c r="BJ28" s="440"/>
    </row>
    <row r="29" spans="2:6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2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</row>
    <row r="30" spans="2:62" ht="13.5" customHeight="1">
      <c r="B30" s="430" t="s">
        <v>9</v>
      </c>
      <c r="C30" s="430"/>
      <c r="D30" s="430"/>
      <c r="E30" s="201" t="s">
        <v>417</v>
      </c>
      <c r="F30" s="18" t="s">
        <v>16</v>
      </c>
    </row>
    <row r="33" spans="2:62" ht="18" customHeight="1">
      <c r="B33" s="448" t="s">
        <v>389</v>
      </c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  <c r="AL33" s="448"/>
      <c r="AM33" s="448"/>
      <c r="AN33" s="448"/>
      <c r="AO33" s="448"/>
      <c r="AP33" s="448"/>
      <c r="AQ33" s="448"/>
      <c r="AR33" s="448"/>
      <c r="AS33" s="448"/>
      <c r="AT33" s="448"/>
      <c r="AU33" s="448"/>
      <c r="AV33" s="448"/>
      <c r="AW33" s="448"/>
      <c r="AX33" s="448"/>
      <c r="AY33" s="448"/>
      <c r="AZ33" s="448"/>
      <c r="BA33" s="448"/>
      <c r="BB33" s="448"/>
      <c r="BC33" s="448"/>
      <c r="BD33" s="448"/>
      <c r="BE33" s="448"/>
      <c r="BF33" s="448"/>
      <c r="BG33" s="448"/>
      <c r="BH33" s="448"/>
      <c r="BI33" s="448"/>
      <c r="BJ33" s="448"/>
    </row>
    <row r="34" spans="2:62" ht="12.95" customHeight="1">
      <c r="BJ34" s="19" t="s">
        <v>17</v>
      </c>
    </row>
    <row r="35" spans="2:62" ht="15" customHeight="1">
      <c r="B35" s="431" t="s">
        <v>1</v>
      </c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 t="s">
        <v>18</v>
      </c>
      <c r="P35" s="432"/>
      <c r="Q35" s="432"/>
      <c r="R35" s="432"/>
      <c r="S35" s="432"/>
      <c r="T35" s="432"/>
      <c r="U35" s="432"/>
      <c r="V35" s="432"/>
      <c r="W35" s="432"/>
      <c r="X35" s="432"/>
      <c r="Y35" s="432"/>
      <c r="Z35" s="432"/>
      <c r="AA35" s="432"/>
      <c r="AB35" s="432"/>
      <c r="AC35" s="432"/>
      <c r="AD35" s="432"/>
      <c r="AE35" s="432" t="s">
        <v>19</v>
      </c>
      <c r="AF35" s="432"/>
      <c r="AG35" s="432"/>
      <c r="AH35" s="432"/>
      <c r="AI35" s="432"/>
      <c r="AJ35" s="432"/>
      <c r="AK35" s="432"/>
      <c r="AL35" s="432"/>
      <c r="AM35" s="432"/>
      <c r="AN35" s="432"/>
      <c r="AO35" s="432"/>
      <c r="AP35" s="432"/>
      <c r="AQ35" s="432"/>
      <c r="AR35" s="432"/>
      <c r="AS35" s="432"/>
      <c r="AT35" s="432"/>
      <c r="AU35" s="432" t="s">
        <v>20</v>
      </c>
      <c r="AV35" s="432"/>
      <c r="AW35" s="432"/>
      <c r="AX35" s="432"/>
      <c r="AY35" s="432"/>
      <c r="AZ35" s="432"/>
      <c r="BA35" s="432"/>
      <c r="BB35" s="432"/>
      <c r="BC35" s="432"/>
      <c r="BD35" s="432"/>
      <c r="BE35" s="432"/>
      <c r="BF35" s="432"/>
      <c r="BG35" s="432"/>
      <c r="BH35" s="432"/>
      <c r="BI35" s="432"/>
      <c r="BJ35" s="449"/>
    </row>
    <row r="36" spans="2:62" ht="15" customHeight="1">
      <c r="B36" s="433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 t="s">
        <v>21</v>
      </c>
      <c r="P36" s="434"/>
      <c r="Q36" s="434"/>
      <c r="R36" s="434"/>
      <c r="S36" s="434"/>
      <c r="T36" s="434"/>
      <c r="U36" s="434"/>
      <c r="V36" s="434"/>
      <c r="W36" s="434" t="s">
        <v>22</v>
      </c>
      <c r="X36" s="434"/>
      <c r="Y36" s="434"/>
      <c r="Z36" s="434"/>
      <c r="AA36" s="434"/>
      <c r="AB36" s="434"/>
      <c r="AC36" s="434"/>
      <c r="AD36" s="434"/>
      <c r="AE36" s="434" t="s">
        <v>21</v>
      </c>
      <c r="AF36" s="434"/>
      <c r="AG36" s="434"/>
      <c r="AH36" s="434"/>
      <c r="AI36" s="434"/>
      <c r="AJ36" s="434"/>
      <c r="AK36" s="434"/>
      <c r="AL36" s="434"/>
      <c r="AM36" s="434" t="s">
        <v>22</v>
      </c>
      <c r="AN36" s="434"/>
      <c r="AO36" s="434"/>
      <c r="AP36" s="434"/>
      <c r="AQ36" s="434"/>
      <c r="AR36" s="434"/>
      <c r="AS36" s="434"/>
      <c r="AT36" s="434"/>
      <c r="AU36" s="434" t="s">
        <v>21</v>
      </c>
      <c r="AV36" s="434"/>
      <c r="AW36" s="434"/>
      <c r="AX36" s="434"/>
      <c r="AY36" s="434"/>
      <c r="AZ36" s="434"/>
      <c r="BA36" s="434"/>
      <c r="BB36" s="434"/>
      <c r="BC36" s="434" t="s">
        <v>22</v>
      </c>
      <c r="BD36" s="434"/>
      <c r="BE36" s="434"/>
      <c r="BF36" s="434"/>
      <c r="BG36" s="434"/>
      <c r="BH36" s="434"/>
      <c r="BI36" s="434"/>
      <c r="BJ36" s="450"/>
    </row>
    <row r="37" spans="2:62">
      <c r="N37" s="24"/>
    </row>
    <row r="38" spans="2:62">
      <c r="C38" s="435" t="s">
        <v>7</v>
      </c>
      <c r="D38" s="435"/>
      <c r="E38" s="435"/>
      <c r="F38" s="435"/>
      <c r="G38" s="436">
        <v>20</v>
      </c>
      <c r="H38" s="436"/>
      <c r="I38" s="436"/>
      <c r="J38" s="435" t="s">
        <v>1</v>
      </c>
      <c r="K38" s="435"/>
      <c r="L38" s="435"/>
      <c r="M38" s="435"/>
      <c r="N38" s="25"/>
      <c r="O38" s="447">
        <v>455</v>
      </c>
      <c r="P38" s="447"/>
      <c r="Q38" s="447"/>
      <c r="R38" s="447"/>
      <c r="S38" s="447"/>
      <c r="T38" s="447"/>
      <c r="U38" s="447"/>
      <c r="V38" s="447"/>
      <c r="W38" s="438">
        <v>17610</v>
      </c>
      <c r="X38" s="438"/>
      <c r="Y38" s="438"/>
      <c r="Z38" s="438"/>
      <c r="AA38" s="438"/>
      <c r="AB38" s="438"/>
      <c r="AC38" s="438"/>
      <c r="AD38" s="438"/>
      <c r="AE38" s="438">
        <v>20</v>
      </c>
      <c r="AF38" s="438"/>
      <c r="AG38" s="438"/>
      <c r="AH38" s="438"/>
      <c r="AI38" s="438"/>
      <c r="AJ38" s="438"/>
      <c r="AK38" s="438"/>
      <c r="AL38" s="438"/>
      <c r="AM38" s="438">
        <v>1390</v>
      </c>
      <c r="AN38" s="438"/>
      <c r="AO38" s="438"/>
      <c r="AP38" s="438"/>
      <c r="AQ38" s="438"/>
      <c r="AR38" s="438"/>
      <c r="AS38" s="438"/>
      <c r="AT38" s="438"/>
      <c r="AU38" s="438">
        <v>102</v>
      </c>
      <c r="AV38" s="438"/>
      <c r="AW38" s="438"/>
      <c r="AX38" s="438"/>
      <c r="AY38" s="438"/>
      <c r="AZ38" s="438"/>
      <c r="BA38" s="438"/>
      <c r="BB38" s="438"/>
      <c r="BC38" s="438">
        <v>1459</v>
      </c>
      <c r="BD38" s="438"/>
      <c r="BE38" s="438"/>
      <c r="BF38" s="438"/>
      <c r="BG38" s="438"/>
      <c r="BH38" s="438"/>
      <c r="BI38" s="438"/>
      <c r="BJ38" s="438"/>
    </row>
    <row r="39" spans="2:62">
      <c r="G39" s="436">
        <v>21</v>
      </c>
      <c r="H39" s="436"/>
      <c r="I39" s="436"/>
      <c r="N39" s="25"/>
      <c r="O39" s="447">
        <v>447</v>
      </c>
      <c r="P39" s="447"/>
      <c r="Q39" s="447"/>
      <c r="R39" s="447"/>
      <c r="S39" s="447"/>
      <c r="T39" s="447"/>
      <c r="U39" s="447"/>
      <c r="V39" s="447"/>
      <c r="W39" s="438">
        <v>18225</v>
      </c>
      <c r="X39" s="438"/>
      <c r="Y39" s="438"/>
      <c r="Z39" s="438"/>
      <c r="AA39" s="438"/>
      <c r="AB39" s="438"/>
      <c r="AC39" s="438"/>
      <c r="AD39" s="438"/>
      <c r="AE39" s="438">
        <v>20</v>
      </c>
      <c r="AF39" s="438"/>
      <c r="AG39" s="438"/>
      <c r="AH39" s="438"/>
      <c r="AI39" s="438"/>
      <c r="AJ39" s="438"/>
      <c r="AK39" s="438"/>
      <c r="AL39" s="438"/>
      <c r="AM39" s="438">
        <v>1414</v>
      </c>
      <c r="AN39" s="438"/>
      <c r="AO39" s="438"/>
      <c r="AP39" s="438"/>
      <c r="AQ39" s="438"/>
      <c r="AR39" s="438"/>
      <c r="AS39" s="438"/>
      <c r="AT39" s="438"/>
      <c r="AU39" s="438">
        <v>100</v>
      </c>
      <c r="AV39" s="438"/>
      <c r="AW39" s="438"/>
      <c r="AX39" s="438"/>
      <c r="AY39" s="438"/>
      <c r="AZ39" s="438"/>
      <c r="BA39" s="438"/>
      <c r="BB39" s="438"/>
      <c r="BC39" s="438">
        <v>1536</v>
      </c>
      <c r="BD39" s="438"/>
      <c r="BE39" s="438"/>
      <c r="BF39" s="438"/>
      <c r="BG39" s="438"/>
      <c r="BH39" s="438"/>
      <c r="BI39" s="438"/>
      <c r="BJ39" s="438"/>
    </row>
    <row r="40" spans="2:62">
      <c r="G40" s="436">
        <v>22</v>
      </c>
      <c r="H40" s="436"/>
      <c r="I40" s="436"/>
      <c r="N40" s="25"/>
      <c r="O40" s="447">
        <v>449</v>
      </c>
      <c r="P40" s="447"/>
      <c r="Q40" s="447"/>
      <c r="R40" s="447"/>
      <c r="S40" s="447"/>
      <c r="T40" s="447"/>
      <c r="U40" s="447"/>
      <c r="V40" s="447"/>
      <c r="W40" s="438">
        <v>18408</v>
      </c>
      <c r="X40" s="438"/>
      <c r="Y40" s="438"/>
      <c r="Z40" s="438"/>
      <c r="AA40" s="438"/>
      <c r="AB40" s="438"/>
      <c r="AC40" s="438"/>
      <c r="AD40" s="438"/>
      <c r="AE40" s="438">
        <v>20</v>
      </c>
      <c r="AF40" s="438"/>
      <c r="AG40" s="438"/>
      <c r="AH40" s="438"/>
      <c r="AI40" s="438"/>
      <c r="AJ40" s="438"/>
      <c r="AK40" s="438"/>
      <c r="AL40" s="438"/>
      <c r="AM40" s="438">
        <v>1395</v>
      </c>
      <c r="AN40" s="438"/>
      <c r="AO40" s="438"/>
      <c r="AP40" s="438"/>
      <c r="AQ40" s="438"/>
      <c r="AR40" s="438"/>
      <c r="AS40" s="438"/>
      <c r="AT40" s="438"/>
      <c r="AU40" s="438">
        <v>103</v>
      </c>
      <c r="AV40" s="438"/>
      <c r="AW40" s="438"/>
      <c r="AX40" s="438"/>
      <c r="AY40" s="438"/>
      <c r="AZ40" s="438"/>
      <c r="BA40" s="438"/>
      <c r="BB40" s="438"/>
      <c r="BC40" s="438">
        <v>1546</v>
      </c>
      <c r="BD40" s="438"/>
      <c r="BE40" s="438"/>
      <c r="BF40" s="438"/>
      <c r="BG40" s="438"/>
      <c r="BH40" s="438"/>
      <c r="BI40" s="438"/>
      <c r="BJ40" s="438"/>
    </row>
    <row r="41" spans="2:62">
      <c r="G41" s="436">
        <v>23</v>
      </c>
      <c r="H41" s="436"/>
      <c r="I41" s="436"/>
      <c r="N41" s="25"/>
      <c r="O41" s="447">
        <v>453</v>
      </c>
      <c r="P41" s="447"/>
      <c r="Q41" s="447"/>
      <c r="R41" s="447"/>
      <c r="S41" s="447"/>
      <c r="T41" s="447"/>
      <c r="U41" s="447"/>
      <c r="V41" s="447"/>
      <c r="W41" s="438">
        <v>18514</v>
      </c>
      <c r="X41" s="438"/>
      <c r="Y41" s="438"/>
      <c r="Z41" s="438"/>
      <c r="AA41" s="438"/>
      <c r="AB41" s="438"/>
      <c r="AC41" s="438"/>
      <c r="AD41" s="438"/>
      <c r="AE41" s="438">
        <v>23</v>
      </c>
      <c r="AF41" s="438"/>
      <c r="AG41" s="438"/>
      <c r="AH41" s="438"/>
      <c r="AI41" s="438"/>
      <c r="AJ41" s="438"/>
      <c r="AK41" s="438"/>
      <c r="AL41" s="438"/>
      <c r="AM41" s="438">
        <v>1385</v>
      </c>
      <c r="AN41" s="438"/>
      <c r="AO41" s="438"/>
      <c r="AP41" s="438"/>
      <c r="AQ41" s="438"/>
      <c r="AR41" s="438"/>
      <c r="AS41" s="438"/>
      <c r="AT41" s="438"/>
      <c r="AU41" s="438">
        <v>97</v>
      </c>
      <c r="AV41" s="438"/>
      <c r="AW41" s="438"/>
      <c r="AX41" s="438"/>
      <c r="AY41" s="438"/>
      <c r="AZ41" s="438"/>
      <c r="BA41" s="438"/>
      <c r="BB41" s="438"/>
      <c r="BC41" s="438">
        <v>1592</v>
      </c>
      <c r="BD41" s="438"/>
      <c r="BE41" s="438"/>
      <c r="BF41" s="438"/>
      <c r="BG41" s="438"/>
      <c r="BH41" s="438"/>
      <c r="BI41" s="438"/>
      <c r="BJ41" s="438"/>
    </row>
    <row r="42" spans="2:62">
      <c r="G42" s="437">
        <v>24</v>
      </c>
      <c r="H42" s="437"/>
      <c r="I42" s="437"/>
      <c r="N42" s="25"/>
      <c r="O42" s="446">
        <f>SUM(AE42,AU42,O51,AE51,AU51)</f>
        <v>492</v>
      </c>
      <c r="P42" s="446"/>
      <c r="Q42" s="446"/>
      <c r="R42" s="446"/>
      <c r="S42" s="446"/>
      <c r="T42" s="446"/>
      <c r="U42" s="446"/>
      <c r="V42" s="446"/>
      <c r="W42" s="445">
        <f>SUM(AM42,BC42,W51,AM51,BC51)</f>
        <v>18984</v>
      </c>
      <c r="X42" s="445"/>
      <c r="Y42" s="445"/>
      <c r="Z42" s="445"/>
      <c r="AA42" s="445"/>
      <c r="AB42" s="445"/>
      <c r="AC42" s="445"/>
      <c r="AD42" s="445"/>
      <c r="AE42" s="445">
        <v>28</v>
      </c>
      <c r="AF42" s="445"/>
      <c r="AG42" s="445"/>
      <c r="AH42" s="445"/>
      <c r="AI42" s="445"/>
      <c r="AJ42" s="445"/>
      <c r="AK42" s="445"/>
      <c r="AL42" s="445"/>
      <c r="AM42" s="445">
        <v>1492</v>
      </c>
      <c r="AN42" s="445"/>
      <c r="AO42" s="445"/>
      <c r="AP42" s="445"/>
      <c r="AQ42" s="445"/>
      <c r="AR42" s="445"/>
      <c r="AS42" s="445"/>
      <c r="AT42" s="445"/>
      <c r="AU42" s="445">
        <v>106</v>
      </c>
      <c r="AV42" s="445"/>
      <c r="AW42" s="445"/>
      <c r="AX42" s="445"/>
      <c r="AY42" s="445"/>
      <c r="AZ42" s="445"/>
      <c r="BA42" s="445"/>
      <c r="BB42" s="445"/>
      <c r="BC42" s="445">
        <v>1625</v>
      </c>
      <c r="BD42" s="445"/>
      <c r="BE42" s="445"/>
      <c r="BF42" s="445"/>
      <c r="BG42" s="445"/>
      <c r="BH42" s="445"/>
      <c r="BI42" s="445"/>
      <c r="BJ42" s="445"/>
    </row>
    <row r="43" spans="2:6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</row>
    <row r="44" spans="2:62" ht="15" customHeight="1">
      <c r="B44" s="431" t="s">
        <v>1</v>
      </c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 t="s">
        <v>23</v>
      </c>
      <c r="P44" s="432"/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2"/>
      <c r="AC44" s="432"/>
      <c r="AD44" s="432"/>
      <c r="AE44" s="432" t="s">
        <v>24</v>
      </c>
      <c r="AF44" s="432"/>
      <c r="AG44" s="432"/>
      <c r="AH44" s="432"/>
      <c r="AI44" s="432"/>
      <c r="AJ44" s="432"/>
      <c r="AK44" s="432"/>
      <c r="AL44" s="432"/>
      <c r="AM44" s="432"/>
      <c r="AN44" s="432"/>
      <c r="AO44" s="432"/>
      <c r="AP44" s="432"/>
      <c r="AQ44" s="432"/>
      <c r="AR44" s="432"/>
      <c r="AS44" s="432"/>
      <c r="AT44" s="432"/>
      <c r="AU44" s="432" t="s">
        <v>25</v>
      </c>
      <c r="AV44" s="432"/>
      <c r="AW44" s="432"/>
      <c r="AX44" s="432"/>
      <c r="AY44" s="432"/>
      <c r="AZ44" s="432"/>
      <c r="BA44" s="432"/>
      <c r="BB44" s="432"/>
      <c r="BC44" s="432"/>
      <c r="BD44" s="432"/>
      <c r="BE44" s="432"/>
      <c r="BF44" s="432"/>
      <c r="BG44" s="432"/>
      <c r="BH44" s="432"/>
      <c r="BI44" s="432"/>
      <c r="BJ44" s="449"/>
    </row>
    <row r="45" spans="2:62" ht="15" customHeight="1">
      <c r="B45" s="433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 t="s">
        <v>21</v>
      </c>
      <c r="P45" s="434"/>
      <c r="Q45" s="434"/>
      <c r="R45" s="434"/>
      <c r="S45" s="434"/>
      <c r="T45" s="434"/>
      <c r="U45" s="434"/>
      <c r="V45" s="434"/>
      <c r="W45" s="434" t="s">
        <v>22</v>
      </c>
      <c r="X45" s="434"/>
      <c r="Y45" s="434"/>
      <c r="Z45" s="434"/>
      <c r="AA45" s="434"/>
      <c r="AB45" s="434"/>
      <c r="AC45" s="434"/>
      <c r="AD45" s="434"/>
      <c r="AE45" s="434" t="s">
        <v>21</v>
      </c>
      <c r="AF45" s="434"/>
      <c r="AG45" s="434"/>
      <c r="AH45" s="434"/>
      <c r="AI45" s="434"/>
      <c r="AJ45" s="434"/>
      <c r="AK45" s="434"/>
      <c r="AL45" s="434"/>
      <c r="AM45" s="434" t="s">
        <v>22</v>
      </c>
      <c r="AN45" s="434"/>
      <c r="AO45" s="434"/>
      <c r="AP45" s="434"/>
      <c r="AQ45" s="434"/>
      <c r="AR45" s="434"/>
      <c r="AS45" s="434"/>
      <c r="AT45" s="434"/>
      <c r="AU45" s="434" t="s">
        <v>21</v>
      </c>
      <c r="AV45" s="434"/>
      <c r="AW45" s="434"/>
      <c r="AX45" s="434"/>
      <c r="AY45" s="434"/>
      <c r="AZ45" s="434"/>
      <c r="BA45" s="434"/>
      <c r="BB45" s="434"/>
      <c r="BC45" s="434" t="s">
        <v>22</v>
      </c>
      <c r="BD45" s="434"/>
      <c r="BE45" s="434"/>
      <c r="BF45" s="434"/>
      <c r="BG45" s="434"/>
      <c r="BH45" s="434"/>
      <c r="BI45" s="434"/>
      <c r="BJ45" s="450"/>
    </row>
    <row r="46" spans="2:62">
      <c r="N46" s="24"/>
    </row>
    <row r="47" spans="2:62">
      <c r="C47" s="435" t="s">
        <v>7</v>
      </c>
      <c r="D47" s="435"/>
      <c r="E47" s="435"/>
      <c r="F47" s="435"/>
      <c r="G47" s="436">
        <v>20</v>
      </c>
      <c r="H47" s="436"/>
      <c r="I47" s="436"/>
      <c r="J47" s="435" t="s">
        <v>1</v>
      </c>
      <c r="K47" s="435"/>
      <c r="L47" s="435"/>
      <c r="M47" s="435"/>
      <c r="N47" s="25"/>
      <c r="O47" s="451">
        <v>4</v>
      </c>
      <c r="P47" s="451"/>
      <c r="Q47" s="451"/>
      <c r="R47" s="451"/>
      <c r="S47" s="451"/>
      <c r="T47" s="451"/>
      <c r="U47" s="451"/>
      <c r="V47" s="451"/>
      <c r="W47" s="451">
        <v>234</v>
      </c>
      <c r="X47" s="451"/>
      <c r="Y47" s="451"/>
      <c r="Z47" s="451"/>
      <c r="AA47" s="451"/>
      <c r="AB47" s="451"/>
      <c r="AC47" s="451"/>
      <c r="AD47" s="451"/>
      <c r="AE47" s="451">
        <v>242</v>
      </c>
      <c r="AF47" s="451"/>
      <c r="AG47" s="451"/>
      <c r="AH47" s="451"/>
      <c r="AI47" s="451"/>
      <c r="AJ47" s="451"/>
      <c r="AK47" s="451"/>
      <c r="AL47" s="451"/>
      <c r="AM47" s="451">
        <v>9165</v>
      </c>
      <c r="AN47" s="451"/>
      <c r="AO47" s="451"/>
      <c r="AP47" s="451"/>
      <c r="AQ47" s="451"/>
      <c r="AR47" s="451"/>
      <c r="AS47" s="451"/>
      <c r="AT47" s="451"/>
      <c r="AU47" s="451">
        <v>87</v>
      </c>
      <c r="AV47" s="451"/>
      <c r="AW47" s="451"/>
      <c r="AX47" s="451"/>
      <c r="AY47" s="451"/>
      <c r="AZ47" s="451"/>
      <c r="BA47" s="451"/>
      <c r="BB47" s="451"/>
      <c r="BC47" s="451">
        <v>5362</v>
      </c>
      <c r="BD47" s="451"/>
      <c r="BE47" s="451"/>
      <c r="BF47" s="451"/>
      <c r="BG47" s="451"/>
      <c r="BH47" s="451"/>
      <c r="BI47" s="451"/>
      <c r="BJ47" s="451"/>
    </row>
    <row r="48" spans="2:62">
      <c r="G48" s="436">
        <v>21</v>
      </c>
      <c r="H48" s="436"/>
      <c r="I48" s="436"/>
      <c r="N48" s="25"/>
      <c r="O48" s="451">
        <v>3</v>
      </c>
      <c r="P48" s="451"/>
      <c r="Q48" s="451"/>
      <c r="R48" s="451"/>
      <c r="S48" s="451"/>
      <c r="T48" s="451"/>
      <c r="U48" s="451"/>
      <c r="V48" s="451"/>
      <c r="W48" s="451">
        <v>237</v>
      </c>
      <c r="X48" s="451"/>
      <c r="Y48" s="451"/>
      <c r="Z48" s="451"/>
      <c r="AA48" s="451"/>
      <c r="AB48" s="451"/>
      <c r="AC48" s="451"/>
      <c r="AD48" s="451"/>
      <c r="AE48" s="451">
        <v>243</v>
      </c>
      <c r="AF48" s="451"/>
      <c r="AG48" s="451"/>
      <c r="AH48" s="451"/>
      <c r="AI48" s="451"/>
      <c r="AJ48" s="451"/>
      <c r="AK48" s="451"/>
      <c r="AL48" s="451"/>
      <c r="AM48" s="451">
        <v>9409</v>
      </c>
      <c r="AN48" s="451"/>
      <c r="AO48" s="451"/>
      <c r="AP48" s="451"/>
      <c r="AQ48" s="451"/>
      <c r="AR48" s="451"/>
      <c r="AS48" s="451"/>
      <c r="AT48" s="451"/>
      <c r="AU48" s="451">
        <v>81</v>
      </c>
      <c r="AV48" s="451"/>
      <c r="AW48" s="451"/>
      <c r="AX48" s="451"/>
      <c r="AY48" s="451"/>
      <c r="AZ48" s="451"/>
      <c r="BA48" s="451"/>
      <c r="BB48" s="451"/>
      <c r="BC48" s="451">
        <v>5629</v>
      </c>
      <c r="BD48" s="451"/>
      <c r="BE48" s="451"/>
      <c r="BF48" s="451"/>
      <c r="BG48" s="451"/>
      <c r="BH48" s="451"/>
      <c r="BI48" s="451"/>
      <c r="BJ48" s="451"/>
    </row>
    <row r="49" spans="2:62">
      <c r="G49" s="436">
        <v>22</v>
      </c>
      <c r="H49" s="436"/>
      <c r="I49" s="436"/>
      <c r="N49" s="25"/>
      <c r="O49" s="453">
        <v>3</v>
      </c>
      <c r="P49" s="453"/>
      <c r="Q49" s="453"/>
      <c r="R49" s="453"/>
      <c r="S49" s="453"/>
      <c r="T49" s="453"/>
      <c r="U49" s="453"/>
      <c r="V49" s="453"/>
      <c r="W49" s="453">
        <v>233</v>
      </c>
      <c r="X49" s="453"/>
      <c r="Y49" s="453"/>
      <c r="Z49" s="453"/>
      <c r="AA49" s="453"/>
      <c r="AB49" s="453"/>
      <c r="AC49" s="453"/>
      <c r="AD49" s="453"/>
      <c r="AE49" s="453">
        <v>243</v>
      </c>
      <c r="AF49" s="453"/>
      <c r="AG49" s="453"/>
      <c r="AH49" s="453"/>
      <c r="AI49" s="453"/>
      <c r="AJ49" s="453"/>
      <c r="AK49" s="453"/>
      <c r="AL49" s="453"/>
      <c r="AM49" s="453">
        <v>9443</v>
      </c>
      <c r="AN49" s="453"/>
      <c r="AO49" s="453"/>
      <c r="AP49" s="453"/>
      <c r="AQ49" s="453"/>
      <c r="AR49" s="453"/>
      <c r="AS49" s="453"/>
      <c r="AT49" s="453"/>
      <c r="AU49" s="453">
        <v>80</v>
      </c>
      <c r="AV49" s="453"/>
      <c r="AW49" s="453"/>
      <c r="AX49" s="453"/>
      <c r="AY49" s="453"/>
      <c r="AZ49" s="453"/>
      <c r="BA49" s="453"/>
      <c r="BB49" s="453"/>
      <c r="BC49" s="453">
        <v>5791</v>
      </c>
      <c r="BD49" s="453"/>
      <c r="BE49" s="453"/>
      <c r="BF49" s="453"/>
      <c r="BG49" s="453"/>
      <c r="BH49" s="453"/>
      <c r="BI49" s="453"/>
      <c r="BJ49" s="453"/>
    </row>
    <row r="50" spans="2:62">
      <c r="G50" s="436">
        <v>23</v>
      </c>
      <c r="H50" s="436"/>
      <c r="I50" s="436"/>
      <c r="N50" s="25"/>
      <c r="O50" s="451">
        <v>2</v>
      </c>
      <c r="P50" s="451"/>
      <c r="Q50" s="451"/>
      <c r="R50" s="451"/>
      <c r="S50" s="451"/>
      <c r="T50" s="451"/>
      <c r="U50" s="451"/>
      <c r="V50" s="451"/>
      <c r="W50" s="451">
        <v>236</v>
      </c>
      <c r="X50" s="451"/>
      <c r="Y50" s="451"/>
      <c r="Z50" s="451"/>
      <c r="AA50" s="451"/>
      <c r="AB50" s="451"/>
      <c r="AC50" s="451"/>
      <c r="AD50" s="451"/>
      <c r="AE50" s="451">
        <v>246</v>
      </c>
      <c r="AF50" s="451"/>
      <c r="AG50" s="451"/>
      <c r="AH50" s="451"/>
      <c r="AI50" s="451"/>
      <c r="AJ50" s="451"/>
      <c r="AK50" s="451"/>
      <c r="AL50" s="451"/>
      <c r="AM50" s="451">
        <v>9457</v>
      </c>
      <c r="AN50" s="451"/>
      <c r="AO50" s="451"/>
      <c r="AP50" s="451"/>
      <c r="AQ50" s="451"/>
      <c r="AR50" s="451"/>
      <c r="AS50" s="451"/>
      <c r="AT50" s="451"/>
      <c r="AU50" s="451">
        <v>85</v>
      </c>
      <c r="AV50" s="451"/>
      <c r="AW50" s="451"/>
      <c r="AX50" s="451"/>
      <c r="AY50" s="451"/>
      <c r="AZ50" s="451"/>
      <c r="BA50" s="451"/>
      <c r="BB50" s="451"/>
      <c r="BC50" s="451">
        <v>5844</v>
      </c>
      <c r="BD50" s="451"/>
      <c r="BE50" s="451"/>
      <c r="BF50" s="451"/>
      <c r="BG50" s="451"/>
      <c r="BH50" s="451"/>
      <c r="BI50" s="451"/>
      <c r="BJ50" s="451"/>
    </row>
    <row r="51" spans="2:62">
      <c r="G51" s="437">
        <v>24</v>
      </c>
      <c r="H51" s="437"/>
      <c r="I51" s="437"/>
      <c r="N51" s="25"/>
      <c r="O51" s="452">
        <v>2</v>
      </c>
      <c r="P51" s="452"/>
      <c r="Q51" s="452"/>
      <c r="R51" s="452"/>
      <c r="S51" s="452"/>
      <c r="T51" s="452"/>
      <c r="U51" s="452"/>
      <c r="V51" s="452"/>
      <c r="W51" s="452">
        <v>240</v>
      </c>
      <c r="X51" s="452"/>
      <c r="Y51" s="452"/>
      <c r="Z51" s="452"/>
      <c r="AA51" s="452"/>
      <c r="AB51" s="452"/>
      <c r="AC51" s="452"/>
      <c r="AD51" s="452"/>
      <c r="AE51" s="452">
        <v>267</v>
      </c>
      <c r="AF51" s="452"/>
      <c r="AG51" s="452"/>
      <c r="AH51" s="452"/>
      <c r="AI51" s="452"/>
      <c r="AJ51" s="452"/>
      <c r="AK51" s="452"/>
      <c r="AL51" s="452"/>
      <c r="AM51" s="452">
        <v>9555</v>
      </c>
      <c r="AN51" s="452"/>
      <c r="AO51" s="452"/>
      <c r="AP51" s="452"/>
      <c r="AQ51" s="452"/>
      <c r="AR51" s="452"/>
      <c r="AS51" s="452"/>
      <c r="AT51" s="452"/>
      <c r="AU51" s="452">
        <v>89</v>
      </c>
      <c r="AV51" s="452"/>
      <c r="AW51" s="452"/>
      <c r="AX51" s="452"/>
      <c r="AY51" s="452"/>
      <c r="AZ51" s="452"/>
      <c r="BA51" s="452"/>
      <c r="BB51" s="452"/>
      <c r="BC51" s="452">
        <v>6072</v>
      </c>
      <c r="BD51" s="452"/>
      <c r="BE51" s="452"/>
      <c r="BF51" s="452"/>
      <c r="BG51" s="452"/>
      <c r="BH51" s="452"/>
      <c r="BI51" s="452"/>
      <c r="BJ51" s="452"/>
    </row>
    <row r="52" spans="2:6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</row>
    <row r="53" spans="2:62">
      <c r="B53" s="430" t="s">
        <v>9</v>
      </c>
      <c r="C53" s="430"/>
      <c r="D53" s="430"/>
      <c r="E53" s="17" t="s">
        <v>128</v>
      </c>
      <c r="F53" s="18" t="s">
        <v>26</v>
      </c>
    </row>
    <row r="56" spans="2:62" ht="18" customHeight="1">
      <c r="B56" s="448" t="s">
        <v>390</v>
      </c>
      <c r="C56" s="448"/>
      <c r="D56" s="448"/>
      <c r="E56" s="448"/>
      <c r="F56" s="448"/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8"/>
      <c r="R56" s="448"/>
      <c r="S56" s="448"/>
      <c r="T56" s="448"/>
      <c r="U56" s="448"/>
      <c r="V56" s="448"/>
      <c r="W56" s="448"/>
      <c r="X56" s="448"/>
      <c r="Y56" s="448"/>
      <c r="Z56" s="448"/>
      <c r="AA56" s="448"/>
      <c r="AB56" s="448"/>
      <c r="AC56" s="448"/>
      <c r="AD56" s="448"/>
      <c r="AE56" s="448"/>
      <c r="AF56" s="448"/>
      <c r="AG56" s="448"/>
      <c r="AH56" s="448"/>
      <c r="AI56" s="448"/>
      <c r="AJ56" s="448"/>
      <c r="AK56" s="448"/>
      <c r="AL56" s="448"/>
      <c r="AM56" s="448"/>
      <c r="AN56" s="448"/>
      <c r="AO56" s="448"/>
      <c r="AP56" s="448"/>
      <c r="AQ56" s="448"/>
      <c r="AR56" s="448"/>
      <c r="AS56" s="448"/>
      <c r="AT56" s="448"/>
      <c r="AU56" s="448"/>
      <c r="AV56" s="448"/>
      <c r="AW56" s="448"/>
      <c r="AX56" s="448"/>
      <c r="AY56" s="448"/>
      <c r="AZ56" s="448"/>
      <c r="BA56" s="448"/>
      <c r="BB56" s="448"/>
      <c r="BC56" s="448"/>
      <c r="BD56" s="448"/>
      <c r="BE56" s="448"/>
      <c r="BF56" s="448"/>
      <c r="BG56" s="448"/>
      <c r="BH56" s="448"/>
      <c r="BI56" s="448"/>
      <c r="BJ56" s="448"/>
    </row>
    <row r="57" spans="2:62" ht="12.95" customHeight="1">
      <c r="BJ57" s="19" t="s">
        <v>17</v>
      </c>
    </row>
    <row r="58" spans="2:62" ht="15.75" customHeight="1">
      <c r="B58" s="431" t="s">
        <v>1</v>
      </c>
      <c r="C58" s="432"/>
      <c r="D58" s="432"/>
      <c r="E58" s="432"/>
      <c r="F58" s="432"/>
      <c r="G58" s="432"/>
      <c r="H58" s="432"/>
      <c r="I58" s="432"/>
      <c r="J58" s="432"/>
      <c r="K58" s="432"/>
      <c r="L58" s="432"/>
      <c r="M58" s="432" t="s">
        <v>18</v>
      </c>
      <c r="N58" s="432"/>
      <c r="O58" s="432"/>
      <c r="P58" s="432"/>
      <c r="Q58" s="432"/>
      <c r="R58" s="432"/>
      <c r="S58" s="432"/>
      <c r="T58" s="432"/>
      <c r="U58" s="432"/>
      <c r="V58" s="432"/>
      <c r="W58" s="432" t="s">
        <v>27</v>
      </c>
      <c r="X58" s="432"/>
      <c r="Y58" s="432"/>
      <c r="Z58" s="432"/>
      <c r="AA58" s="432"/>
      <c r="AB58" s="432"/>
      <c r="AC58" s="432"/>
      <c r="AD58" s="432"/>
      <c r="AE58" s="432"/>
      <c r="AF58" s="432"/>
      <c r="AG58" s="432" t="s">
        <v>28</v>
      </c>
      <c r="AH58" s="432"/>
      <c r="AI58" s="432"/>
      <c r="AJ58" s="432"/>
      <c r="AK58" s="432"/>
      <c r="AL58" s="432"/>
      <c r="AM58" s="432"/>
      <c r="AN58" s="432"/>
      <c r="AO58" s="432"/>
      <c r="AP58" s="432"/>
      <c r="AQ58" s="432" t="s">
        <v>29</v>
      </c>
      <c r="AR58" s="432"/>
      <c r="AS58" s="432"/>
      <c r="AT58" s="432"/>
      <c r="AU58" s="432"/>
      <c r="AV58" s="432"/>
      <c r="AW58" s="432"/>
      <c r="AX58" s="432"/>
      <c r="AY58" s="432"/>
      <c r="AZ58" s="432"/>
      <c r="BA58" s="432" t="s">
        <v>30</v>
      </c>
      <c r="BB58" s="432"/>
      <c r="BC58" s="432"/>
      <c r="BD58" s="432"/>
      <c r="BE58" s="432"/>
      <c r="BF58" s="432"/>
      <c r="BG58" s="432"/>
      <c r="BH58" s="432"/>
      <c r="BI58" s="432"/>
      <c r="BJ58" s="449"/>
    </row>
    <row r="59" spans="2:62" ht="15.75" customHeight="1">
      <c r="B59" s="433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 t="s">
        <v>21</v>
      </c>
      <c r="N59" s="434"/>
      <c r="O59" s="434"/>
      <c r="P59" s="434"/>
      <c r="Q59" s="434"/>
      <c r="R59" s="434" t="s">
        <v>22</v>
      </c>
      <c r="S59" s="434"/>
      <c r="T59" s="434"/>
      <c r="U59" s="434"/>
      <c r="V59" s="434"/>
      <c r="W59" s="434" t="s">
        <v>21</v>
      </c>
      <c r="X59" s="434"/>
      <c r="Y59" s="434"/>
      <c r="Z59" s="434"/>
      <c r="AA59" s="434"/>
      <c r="AB59" s="434" t="s">
        <v>22</v>
      </c>
      <c r="AC59" s="434"/>
      <c r="AD59" s="434"/>
      <c r="AE59" s="434"/>
      <c r="AF59" s="434"/>
      <c r="AG59" s="434" t="s">
        <v>21</v>
      </c>
      <c r="AH59" s="434"/>
      <c r="AI59" s="434"/>
      <c r="AJ59" s="434"/>
      <c r="AK59" s="434"/>
      <c r="AL59" s="434" t="s">
        <v>22</v>
      </c>
      <c r="AM59" s="434"/>
      <c r="AN59" s="434"/>
      <c r="AO59" s="434"/>
      <c r="AP59" s="434"/>
      <c r="AQ59" s="434" t="s">
        <v>21</v>
      </c>
      <c r="AR59" s="434"/>
      <c r="AS59" s="434"/>
      <c r="AT59" s="434"/>
      <c r="AU59" s="434"/>
      <c r="AV59" s="434" t="s">
        <v>22</v>
      </c>
      <c r="AW59" s="434"/>
      <c r="AX59" s="434"/>
      <c r="AY59" s="434"/>
      <c r="AZ59" s="434"/>
      <c r="BA59" s="434" t="s">
        <v>21</v>
      </c>
      <c r="BB59" s="434"/>
      <c r="BC59" s="434"/>
      <c r="BD59" s="434"/>
      <c r="BE59" s="434"/>
      <c r="BF59" s="434" t="s">
        <v>22</v>
      </c>
      <c r="BG59" s="434"/>
      <c r="BH59" s="434"/>
      <c r="BI59" s="434"/>
      <c r="BJ59" s="450"/>
    </row>
    <row r="60" spans="2:62">
      <c r="L60" s="24"/>
    </row>
    <row r="61" spans="2:62">
      <c r="C61" s="435" t="s">
        <v>7</v>
      </c>
      <c r="D61" s="435"/>
      <c r="E61" s="435"/>
      <c r="F61" s="436">
        <v>20</v>
      </c>
      <c r="G61" s="436"/>
      <c r="H61" s="436"/>
      <c r="I61" s="435" t="s">
        <v>1</v>
      </c>
      <c r="J61" s="435"/>
      <c r="K61" s="435"/>
      <c r="L61" s="25"/>
      <c r="M61" s="447">
        <v>974</v>
      </c>
      <c r="N61" s="438"/>
      <c r="O61" s="438"/>
      <c r="P61" s="438"/>
      <c r="Q61" s="438"/>
      <c r="R61" s="438">
        <v>2599</v>
      </c>
      <c r="S61" s="438"/>
      <c r="T61" s="438"/>
      <c r="U61" s="438"/>
      <c r="V61" s="438"/>
      <c r="W61" s="438">
        <v>20</v>
      </c>
      <c r="X61" s="438"/>
      <c r="Y61" s="438"/>
      <c r="Z61" s="438"/>
      <c r="AA61" s="438"/>
      <c r="AB61" s="438">
        <v>109</v>
      </c>
      <c r="AC61" s="438"/>
      <c r="AD61" s="438"/>
      <c r="AE61" s="438"/>
      <c r="AF61" s="438"/>
      <c r="AG61" s="438">
        <v>249</v>
      </c>
      <c r="AH61" s="438"/>
      <c r="AI61" s="438"/>
      <c r="AJ61" s="438"/>
      <c r="AK61" s="438"/>
      <c r="AL61" s="438">
        <v>750</v>
      </c>
      <c r="AM61" s="438"/>
      <c r="AN61" s="438"/>
      <c r="AO61" s="438"/>
      <c r="AP61" s="438"/>
      <c r="AQ61" s="438">
        <v>262</v>
      </c>
      <c r="AR61" s="438"/>
      <c r="AS61" s="438"/>
      <c r="AT61" s="438"/>
      <c r="AU61" s="438"/>
      <c r="AV61" s="438">
        <v>735</v>
      </c>
      <c r="AW61" s="438"/>
      <c r="AX61" s="438"/>
      <c r="AY61" s="438"/>
      <c r="AZ61" s="438"/>
      <c r="BA61" s="438">
        <v>443</v>
      </c>
      <c r="BB61" s="438"/>
      <c r="BC61" s="438"/>
      <c r="BD61" s="438"/>
      <c r="BE61" s="438"/>
      <c r="BF61" s="438">
        <v>1005</v>
      </c>
      <c r="BG61" s="438"/>
      <c r="BH61" s="438"/>
      <c r="BI61" s="438"/>
      <c r="BJ61" s="438"/>
    </row>
    <row r="62" spans="2:62">
      <c r="F62" s="436">
        <v>21</v>
      </c>
      <c r="G62" s="436"/>
      <c r="H62" s="436"/>
      <c r="L62" s="25"/>
      <c r="M62" s="447">
        <v>950</v>
      </c>
      <c r="N62" s="438"/>
      <c r="O62" s="438"/>
      <c r="P62" s="438"/>
      <c r="Q62" s="438"/>
      <c r="R62" s="438">
        <v>2705</v>
      </c>
      <c r="S62" s="438"/>
      <c r="T62" s="438"/>
      <c r="U62" s="438"/>
      <c r="V62" s="438"/>
      <c r="W62" s="438">
        <v>19</v>
      </c>
      <c r="X62" s="438"/>
      <c r="Y62" s="438"/>
      <c r="Z62" s="438"/>
      <c r="AA62" s="438"/>
      <c r="AB62" s="438">
        <v>117</v>
      </c>
      <c r="AC62" s="438"/>
      <c r="AD62" s="438"/>
      <c r="AE62" s="438"/>
      <c r="AF62" s="438"/>
      <c r="AG62" s="438">
        <v>245</v>
      </c>
      <c r="AH62" s="438"/>
      <c r="AI62" s="438"/>
      <c r="AJ62" s="438"/>
      <c r="AK62" s="438"/>
      <c r="AL62" s="438">
        <v>776</v>
      </c>
      <c r="AM62" s="438"/>
      <c r="AN62" s="438"/>
      <c r="AO62" s="438"/>
      <c r="AP62" s="438"/>
      <c r="AQ62" s="438">
        <v>233</v>
      </c>
      <c r="AR62" s="438"/>
      <c r="AS62" s="438"/>
      <c r="AT62" s="438"/>
      <c r="AU62" s="438"/>
      <c r="AV62" s="438">
        <v>753</v>
      </c>
      <c r="AW62" s="438"/>
      <c r="AX62" s="438"/>
      <c r="AY62" s="438"/>
      <c r="AZ62" s="438"/>
      <c r="BA62" s="438">
        <v>453</v>
      </c>
      <c r="BB62" s="438"/>
      <c r="BC62" s="438"/>
      <c r="BD62" s="438"/>
      <c r="BE62" s="438"/>
      <c r="BF62" s="438">
        <v>1059</v>
      </c>
      <c r="BG62" s="438"/>
      <c r="BH62" s="438"/>
      <c r="BI62" s="438"/>
      <c r="BJ62" s="438"/>
    </row>
    <row r="63" spans="2:62">
      <c r="F63" s="436">
        <v>22</v>
      </c>
      <c r="G63" s="436"/>
      <c r="H63" s="436"/>
      <c r="L63" s="25"/>
      <c r="M63" s="447">
        <v>993</v>
      </c>
      <c r="N63" s="438"/>
      <c r="O63" s="438"/>
      <c r="P63" s="438"/>
      <c r="Q63" s="438"/>
      <c r="R63" s="438">
        <v>2804</v>
      </c>
      <c r="S63" s="438"/>
      <c r="T63" s="438"/>
      <c r="U63" s="438"/>
      <c r="V63" s="438"/>
      <c r="W63" s="438">
        <v>15</v>
      </c>
      <c r="X63" s="438"/>
      <c r="Y63" s="438"/>
      <c r="Z63" s="438"/>
      <c r="AA63" s="438"/>
      <c r="AB63" s="438">
        <v>126</v>
      </c>
      <c r="AC63" s="438"/>
      <c r="AD63" s="438"/>
      <c r="AE63" s="438"/>
      <c r="AF63" s="438"/>
      <c r="AG63" s="438">
        <v>260</v>
      </c>
      <c r="AH63" s="438"/>
      <c r="AI63" s="438"/>
      <c r="AJ63" s="438"/>
      <c r="AK63" s="438"/>
      <c r="AL63" s="438">
        <v>793</v>
      </c>
      <c r="AM63" s="438"/>
      <c r="AN63" s="438"/>
      <c r="AO63" s="438"/>
      <c r="AP63" s="438"/>
      <c r="AQ63" s="438">
        <v>230</v>
      </c>
      <c r="AR63" s="438"/>
      <c r="AS63" s="438"/>
      <c r="AT63" s="438"/>
      <c r="AU63" s="438"/>
      <c r="AV63" s="438">
        <v>760</v>
      </c>
      <c r="AW63" s="438"/>
      <c r="AX63" s="438"/>
      <c r="AY63" s="438"/>
      <c r="AZ63" s="438"/>
      <c r="BA63" s="438">
        <v>488</v>
      </c>
      <c r="BB63" s="438"/>
      <c r="BC63" s="438"/>
      <c r="BD63" s="438"/>
      <c r="BE63" s="438"/>
      <c r="BF63" s="438">
        <v>1125</v>
      </c>
      <c r="BG63" s="438"/>
      <c r="BH63" s="438"/>
      <c r="BI63" s="438"/>
      <c r="BJ63" s="438"/>
    </row>
    <row r="64" spans="2:62">
      <c r="F64" s="436">
        <v>23</v>
      </c>
      <c r="G64" s="436"/>
      <c r="H64" s="436"/>
      <c r="L64" s="25"/>
      <c r="M64" s="447">
        <v>1005</v>
      </c>
      <c r="N64" s="438"/>
      <c r="O64" s="438"/>
      <c r="P64" s="438"/>
      <c r="Q64" s="438"/>
      <c r="R64" s="438">
        <v>2912</v>
      </c>
      <c r="S64" s="438"/>
      <c r="T64" s="438"/>
      <c r="U64" s="438"/>
      <c r="V64" s="438"/>
      <c r="W64" s="438">
        <v>16</v>
      </c>
      <c r="X64" s="438"/>
      <c r="Y64" s="438"/>
      <c r="Z64" s="438"/>
      <c r="AA64" s="438"/>
      <c r="AB64" s="438">
        <v>129</v>
      </c>
      <c r="AC64" s="438"/>
      <c r="AD64" s="438"/>
      <c r="AE64" s="438"/>
      <c r="AF64" s="438"/>
      <c r="AG64" s="438">
        <v>262</v>
      </c>
      <c r="AH64" s="438"/>
      <c r="AI64" s="438"/>
      <c r="AJ64" s="438"/>
      <c r="AK64" s="438"/>
      <c r="AL64" s="438">
        <v>819</v>
      </c>
      <c r="AM64" s="438"/>
      <c r="AN64" s="438"/>
      <c r="AO64" s="438"/>
      <c r="AP64" s="438"/>
      <c r="AQ64" s="438">
        <v>226</v>
      </c>
      <c r="AR64" s="438"/>
      <c r="AS64" s="438"/>
      <c r="AT64" s="438"/>
      <c r="AU64" s="438"/>
      <c r="AV64" s="438">
        <v>774</v>
      </c>
      <c r="AW64" s="438"/>
      <c r="AX64" s="438"/>
      <c r="AY64" s="438"/>
      <c r="AZ64" s="438"/>
      <c r="BA64" s="438">
        <v>501</v>
      </c>
      <c r="BB64" s="438"/>
      <c r="BC64" s="438"/>
      <c r="BD64" s="438"/>
      <c r="BE64" s="438"/>
      <c r="BF64" s="438">
        <v>1190</v>
      </c>
      <c r="BG64" s="438"/>
      <c r="BH64" s="438"/>
      <c r="BI64" s="438"/>
      <c r="BJ64" s="438"/>
    </row>
    <row r="65" spans="2:62">
      <c r="F65" s="437">
        <v>24</v>
      </c>
      <c r="G65" s="437"/>
      <c r="H65" s="437"/>
      <c r="L65" s="25"/>
      <c r="M65" s="446">
        <f>SUM(W65,AG65,AQ65,BA65)</f>
        <v>1007</v>
      </c>
      <c r="N65" s="445"/>
      <c r="O65" s="445"/>
      <c r="P65" s="445"/>
      <c r="Q65" s="445"/>
      <c r="R65" s="445">
        <f>SUM(AB65,AL65,AV65,BF65)</f>
        <v>3043</v>
      </c>
      <c r="S65" s="445"/>
      <c r="T65" s="445"/>
      <c r="U65" s="445"/>
      <c r="V65" s="445"/>
      <c r="W65" s="445">
        <v>23</v>
      </c>
      <c r="X65" s="445"/>
      <c r="Y65" s="445"/>
      <c r="Z65" s="445"/>
      <c r="AA65" s="445"/>
      <c r="AB65" s="445">
        <v>127</v>
      </c>
      <c r="AC65" s="445"/>
      <c r="AD65" s="445"/>
      <c r="AE65" s="445"/>
      <c r="AF65" s="445"/>
      <c r="AG65" s="445">
        <v>272</v>
      </c>
      <c r="AH65" s="445"/>
      <c r="AI65" s="445"/>
      <c r="AJ65" s="445"/>
      <c r="AK65" s="445"/>
      <c r="AL65" s="445">
        <v>843</v>
      </c>
      <c r="AM65" s="445"/>
      <c r="AN65" s="445"/>
      <c r="AO65" s="445"/>
      <c r="AP65" s="445"/>
      <c r="AQ65" s="445">
        <v>211</v>
      </c>
      <c r="AR65" s="445"/>
      <c r="AS65" s="445"/>
      <c r="AT65" s="445"/>
      <c r="AU65" s="445"/>
      <c r="AV65" s="445">
        <v>807</v>
      </c>
      <c r="AW65" s="445"/>
      <c r="AX65" s="445"/>
      <c r="AY65" s="445"/>
      <c r="AZ65" s="445"/>
      <c r="BA65" s="445">
        <v>501</v>
      </c>
      <c r="BB65" s="445"/>
      <c r="BC65" s="445"/>
      <c r="BD65" s="445"/>
      <c r="BE65" s="445"/>
      <c r="BF65" s="445">
        <v>1266</v>
      </c>
      <c r="BG65" s="445"/>
      <c r="BH65" s="445"/>
      <c r="BI65" s="445"/>
      <c r="BJ65" s="445"/>
    </row>
    <row r="66" spans="2:6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2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</row>
    <row r="67" spans="2:62">
      <c r="B67" s="430" t="s">
        <v>9</v>
      </c>
      <c r="C67" s="430"/>
      <c r="D67" s="430"/>
      <c r="E67" s="17" t="s">
        <v>128</v>
      </c>
      <c r="F67" s="18" t="s">
        <v>26</v>
      </c>
    </row>
  </sheetData>
  <mergeCells count="271">
    <mergeCell ref="C11:F11"/>
    <mergeCell ref="G11:I11"/>
    <mergeCell ref="J11:M11"/>
    <mergeCell ref="O11:V11"/>
    <mergeCell ref="W11:AD11"/>
    <mergeCell ref="AE11:AL11"/>
    <mergeCell ref="AM11:AT11"/>
    <mergeCell ref="AU11:BB11"/>
    <mergeCell ref="B5:BJ5"/>
    <mergeCell ref="B6:BJ6"/>
    <mergeCell ref="B8:N9"/>
    <mergeCell ref="O8:AD8"/>
    <mergeCell ref="AE8:AT8"/>
    <mergeCell ref="AU8:BJ8"/>
    <mergeCell ref="O9:V9"/>
    <mergeCell ref="W9:AD9"/>
    <mergeCell ref="AE9:AL9"/>
    <mergeCell ref="AM9:AT9"/>
    <mergeCell ref="BC11:BJ11"/>
    <mergeCell ref="G12:I12"/>
    <mergeCell ref="O12:V12"/>
    <mergeCell ref="W12:AD12"/>
    <mergeCell ref="AE12:AL12"/>
    <mergeCell ref="AM12:AT12"/>
    <mergeCell ref="AU12:BB12"/>
    <mergeCell ref="BC12:BJ12"/>
    <mergeCell ref="AU9:BB9"/>
    <mergeCell ref="BC9:BJ9"/>
    <mergeCell ref="BC13:BJ13"/>
    <mergeCell ref="G14:I14"/>
    <mergeCell ref="O14:V14"/>
    <mergeCell ref="W14:AD14"/>
    <mergeCell ref="AE14:AL14"/>
    <mergeCell ref="AM14:AT14"/>
    <mergeCell ref="AU14:BB14"/>
    <mergeCell ref="BC14:BJ14"/>
    <mergeCell ref="G13:I13"/>
    <mergeCell ref="O13:V13"/>
    <mergeCell ref="W13:AD13"/>
    <mergeCell ref="AE13:AL13"/>
    <mergeCell ref="AM13:AT13"/>
    <mergeCell ref="AU13:BB13"/>
    <mergeCell ref="O21:AD21"/>
    <mergeCell ref="AE21:AT21"/>
    <mergeCell ref="AU21:BJ21"/>
    <mergeCell ref="O22:V22"/>
    <mergeCell ref="W22:AD22"/>
    <mergeCell ref="AE22:AL22"/>
    <mergeCell ref="AM22:AT22"/>
    <mergeCell ref="AU22:BB22"/>
    <mergeCell ref="BC22:BJ22"/>
    <mergeCell ref="BC15:BJ15"/>
    <mergeCell ref="B17:D17"/>
    <mergeCell ref="B19:BJ19"/>
    <mergeCell ref="G15:I15"/>
    <mergeCell ref="O15:V15"/>
    <mergeCell ref="W15:AD15"/>
    <mergeCell ref="AE15:AL15"/>
    <mergeCell ref="AM15:AT15"/>
    <mergeCell ref="AU15:BB15"/>
    <mergeCell ref="C38:F38"/>
    <mergeCell ref="G38:I38"/>
    <mergeCell ref="J38:M38"/>
    <mergeCell ref="O38:V38"/>
    <mergeCell ref="W38:AD38"/>
    <mergeCell ref="AE38:AL38"/>
    <mergeCell ref="AM38:AT38"/>
    <mergeCell ref="AU38:BB38"/>
    <mergeCell ref="B33:BJ33"/>
    <mergeCell ref="B35:N36"/>
    <mergeCell ref="O35:AD35"/>
    <mergeCell ref="AE35:AT35"/>
    <mergeCell ref="AU35:BJ35"/>
    <mergeCell ref="O36:V36"/>
    <mergeCell ref="W36:AD36"/>
    <mergeCell ref="AE36:AL36"/>
    <mergeCell ref="AM36:AT36"/>
    <mergeCell ref="BC38:BJ38"/>
    <mergeCell ref="G39:I39"/>
    <mergeCell ref="O39:V39"/>
    <mergeCell ref="W39:AD39"/>
    <mergeCell ref="AE39:AL39"/>
    <mergeCell ref="AM39:AT39"/>
    <mergeCell ref="AU39:BB39"/>
    <mergeCell ref="BC39:BJ39"/>
    <mergeCell ref="AU36:BB36"/>
    <mergeCell ref="BC36:BJ36"/>
    <mergeCell ref="BC40:BJ40"/>
    <mergeCell ref="G41:I41"/>
    <mergeCell ref="O41:V41"/>
    <mergeCell ref="W41:AD41"/>
    <mergeCell ref="AE41:AL41"/>
    <mergeCell ref="AM41:AT41"/>
    <mergeCell ref="AU41:BB41"/>
    <mergeCell ref="BC41:BJ41"/>
    <mergeCell ref="G40:I40"/>
    <mergeCell ref="O40:V40"/>
    <mergeCell ref="W40:AD40"/>
    <mergeCell ref="AE40:AL40"/>
    <mergeCell ref="AM40:AT40"/>
    <mergeCell ref="AU40:BB40"/>
    <mergeCell ref="BC42:BJ42"/>
    <mergeCell ref="B44:N45"/>
    <mergeCell ref="O44:AD44"/>
    <mergeCell ref="AE44:AT44"/>
    <mergeCell ref="AU44:BJ44"/>
    <mergeCell ref="O45:V45"/>
    <mergeCell ref="W45:AD45"/>
    <mergeCell ref="AE45:AL45"/>
    <mergeCell ref="AM45:AT45"/>
    <mergeCell ref="AU45:BB45"/>
    <mergeCell ref="G42:I42"/>
    <mergeCell ref="O42:V42"/>
    <mergeCell ref="W42:AD42"/>
    <mergeCell ref="AE42:AL42"/>
    <mergeCell ref="AM42:AT42"/>
    <mergeCell ref="AU42:BB42"/>
    <mergeCell ref="BC45:BJ45"/>
    <mergeCell ref="C47:F47"/>
    <mergeCell ref="G47:I47"/>
    <mergeCell ref="J47:M47"/>
    <mergeCell ref="O47:V47"/>
    <mergeCell ref="W47:AD47"/>
    <mergeCell ref="AE47:AL47"/>
    <mergeCell ref="AM47:AT47"/>
    <mergeCell ref="AU47:BB47"/>
    <mergeCell ref="BC47:BJ47"/>
    <mergeCell ref="BC48:BJ48"/>
    <mergeCell ref="BC49:BJ49"/>
    <mergeCell ref="G49:I49"/>
    <mergeCell ref="O49:V49"/>
    <mergeCell ref="W49:AD49"/>
    <mergeCell ref="AE49:AL49"/>
    <mergeCell ref="AM49:AT49"/>
    <mergeCell ref="AU49:BB49"/>
    <mergeCell ref="G48:I48"/>
    <mergeCell ref="O48:V48"/>
    <mergeCell ref="W48:AD48"/>
    <mergeCell ref="AE48:AL48"/>
    <mergeCell ref="AM48:AT48"/>
    <mergeCell ref="AU48:BB48"/>
    <mergeCell ref="BC50:BJ50"/>
    <mergeCell ref="G51:I51"/>
    <mergeCell ref="O51:V51"/>
    <mergeCell ref="W51:AD51"/>
    <mergeCell ref="AE51:AL51"/>
    <mergeCell ref="AM51:AT51"/>
    <mergeCell ref="AU51:BB51"/>
    <mergeCell ref="BC51:BJ51"/>
    <mergeCell ref="G50:I50"/>
    <mergeCell ref="O50:V50"/>
    <mergeCell ref="W50:AD50"/>
    <mergeCell ref="AE50:AL50"/>
    <mergeCell ref="AM50:AT50"/>
    <mergeCell ref="AU50:BB50"/>
    <mergeCell ref="B53:D53"/>
    <mergeCell ref="B56:BJ56"/>
    <mergeCell ref="B58:L59"/>
    <mergeCell ref="M58:V58"/>
    <mergeCell ref="W58:AF58"/>
    <mergeCell ref="AG58:AP58"/>
    <mergeCell ref="AQ58:AZ58"/>
    <mergeCell ref="BA58:BJ58"/>
    <mergeCell ref="M59:Q59"/>
    <mergeCell ref="R59:V59"/>
    <mergeCell ref="BF59:BJ59"/>
    <mergeCell ref="AV59:AZ59"/>
    <mergeCell ref="BA59:BE59"/>
    <mergeCell ref="AB59:AF59"/>
    <mergeCell ref="AG59:AK59"/>
    <mergeCell ref="AL59:AP59"/>
    <mergeCell ref="AQ59:AU59"/>
    <mergeCell ref="C61:E61"/>
    <mergeCell ref="F61:H61"/>
    <mergeCell ref="I61:K61"/>
    <mergeCell ref="M61:Q61"/>
    <mergeCell ref="R61:V61"/>
    <mergeCell ref="W61:AA61"/>
    <mergeCell ref="AB61:AF61"/>
    <mergeCell ref="AG61:AK61"/>
    <mergeCell ref="W59:AA59"/>
    <mergeCell ref="AQ61:AU61"/>
    <mergeCell ref="AV61:AZ61"/>
    <mergeCell ref="BA61:BE61"/>
    <mergeCell ref="BF61:BJ61"/>
    <mergeCell ref="F62:H62"/>
    <mergeCell ref="M62:Q62"/>
    <mergeCell ref="R62:V62"/>
    <mergeCell ref="W62:AA62"/>
    <mergeCell ref="AB62:AF62"/>
    <mergeCell ref="F63:H63"/>
    <mergeCell ref="M63:Q63"/>
    <mergeCell ref="R63:V63"/>
    <mergeCell ref="W63:AA63"/>
    <mergeCell ref="AB63:AF63"/>
    <mergeCell ref="AG63:AK63"/>
    <mergeCell ref="AG62:AK62"/>
    <mergeCell ref="AL62:AP62"/>
    <mergeCell ref="AQ62:AU62"/>
    <mergeCell ref="B67:D67"/>
    <mergeCell ref="F65:H65"/>
    <mergeCell ref="M65:Q65"/>
    <mergeCell ref="R65:V65"/>
    <mergeCell ref="W65:AA65"/>
    <mergeCell ref="AB65:AF65"/>
    <mergeCell ref="AG65:AK65"/>
    <mergeCell ref="AG64:AK64"/>
    <mergeCell ref="AL64:AP64"/>
    <mergeCell ref="AL65:AP65"/>
    <mergeCell ref="F64:H64"/>
    <mergeCell ref="M64:Q64"/>
    <mergeCell ref="R64:V64"/>
    <mergeCell ref="W64:AA64"/>
    <mergeCell ref="AB64:AF64"/>
    <mergeCell ref="O24:V24"/>
    <mergeCell ref="W24:AD24"/>
    <mergeCell ref="AE24:AL24"/>
    <mergeCell ref="AM24:AT24"/>
    <mergeCell ref="AU24:BB24"/>
    <mergeCell ref="BC24:BJ24"/>
    <mergeCell ref="AS1:BK2"/>
    <mergeCell ref="BA65:BE65"/>
    <mergeCell ref="BF65:BJ65"/>
    <mergeCell ref="AQ64:AU64"/>
    <mergeCell ref="AV64:AZ64"/>
    <mergeCell ref="AQ65:AU65"/>
    <mergeCell ref="AV65:AZ65"/>
    <mergeCell ref="BA64:BE64"/>
    <mergeCell ref="BF64:BJ64"/>
    <mergeCell ref="AL63:AP63"/>
    <mergeCell ref="AQ63:AU63"/>
    <mergeCell ref="AV63:AZ63"/>
    <mergeCell ref="BA63:BE63"/>
    <mergeCell ref="BF63:BJ63"/>
    <mergeCell ref="AV62:AZ62"/>
    <mergeCell ref="BA62:BE62"/>
    <mergeCell ref="BF62:BJ62"/>
    <mergeCell ref="AL61:AP61"/>
    <mergeCell ref="O25:V25"/>
    <mergeCell ref="W25:AD25"/>
    <mergeCell ref="AE25:AL25"/>
    <mergeCell ref="AM25:AT25"/>
    <mergeCell ref="AU25:BB25"/>
    <mergeCell ref="BC25:BJ25"/>
    <mergeCell ref="O26:V26"/>
    <mergeCell ref="W26:AD26"/>
    <mergeCell ref="AE26:AL26"/>
    <mergeCell ref="AM26:AT26"/>
    <mergeCell ref="AU26:BB26"/>
    <mergeCell ref="BC26:BJ26"/>
    <mergeCell ref="O27:V27"/>
    <mergeCell ref="W27:AD27"/>
    <mergeCell ref="AE27:AL27"/>
    <mergeCell ref="AM27:AT27"/>
    <mergeCell ref="AU27:BB27"/>
    <mergeCell ref="BC27:BJ27"/>
    <mergeCell ref="O28:V28"/>
    <mergeCell ref="W28:AD28"/>
    <mergeCell ref="AE28:AL28"/>
    <mergeCell ref="AM28:AT28"/>
    <mergeCell ref="AU28:BB28"/>
    <mergeCell ref="BC28:BJ28"/>
    <mergeCell ref="B30:D30"/>
    <mergeCell ref="B21:N22"/>
    <mergeCell ref="C24:F24"/>
    <mergeCell ref="G24:I24"/>
    <mergeCell ref="J24:M24"/>
    <mergeCell ref="G25:I25"/>
    <mergeCell ref="G26:I26"/>
    <mergeCell ref="G27:I27"/>
    <mergeCell ref="G28:I28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M71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5" ht="11.1" customHeight="1">
      <c r="A1" s="376">
        <f>'187'!AS1+1</f>
        <v>188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</row>
    <row r="2" spans="1:65" ht="11.1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</row>
    <row r="3" spans="1:65" ht="11.1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</row>
    <row r="4" spans="1:65" ht="11.1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</row>
    <row r="5" spans="1:65" ht="18" customHeight="1">
      <c r="A5" s="40"/>
      <c r="B5" s="448" t="s">
        <v>400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448"/>
      <c r="AR5" s="448"/>
      <c r="AS5" s="448"/>
      <c r="AT5" s="448"/>
      <c r="AU5" s="448"/>
      <c r="AV5" s="448"/>
      <c r="AW5" s="448"/>
      <c r="AX5" s="448"/>
      <c r="AY5" s="448"/>
      <c r="AZ5" s="448"/>
      <c r="BA5" s="448"/>
      <c r="BB5" s="448"/>
      <c r="BC5" s="448"/>
      <c r="BD5" s="448"/>
      <c r="BE5" s="448"/>
      <c r="BF5" s="448"/>
      <c r="BG5" s="448"/>
      <c r="BH5" s="448"/>
      <c r="BI5" s="448"/>
      <c r="BJ5" s="448"/>
      <c r="BK5" s="40"/>
    </row>
    <row r="6" spans="1:65" ht="12.9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1"/>
      <c r="BF6" s="41"/>
      <c r="BG6" s="40"/>
      <c r="BI6" s="41"/>
      <c r="BJ6" s="19" t="s">
        <v>17</v>
      </c>
      <c r="BK6" s="41"/>
    </row>
    <row r="7" spans="1:65">
      <c r="A7" s="40"/>
      <c r="B7" s="458" t="s">
        <v>1</v>
      </c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9"/>
      <c r="O7" s="462" t="s">
        <v>136</v>
      </c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4" t="s">
        <v>137</v>
      </c>
      <c r="AB7" s="464"/>
      <c r="AC7" s="464"/>
      <c r="AD7" s="464"/>
      <c r="AE7" s="464"/>
      <c r="AF7" s="464"/>
      <c r="AG7" s="464"/>
      <c r="AH7" s="464"/>
      <c r="AI7" s="464"/>
      <c r="AJ7" s="464"/>
      <c r="AK7" s="464"/>
      <c r="AL7" s="464"/>
      <c r="AM7" s="464"/>
      <c r="AN7" s="464"/>
      <c r="AO7" s="464"/>
      <c r="AP7" s="464"/>
      <c r="AQ7" s="464"/>
      <c r="AR7" s="464"/>
      <c r="AS7" s="464"/>
      <c r="AT7" s="464"/>
      <c r="AU7" s="464"/>
      <c r="AV7" s="464"/>
      <c r="AW7" s="464"/>
      <c r="AX7" s="464"/>
      <c r="AY7" s="464"/>
      <c r="AZ7" s="464"/>
      <c r="BA7" s="464"/>
      <c r="BB7" s="464"/>
      <c r="BC7" s="464"/>
      <c r="BD7" s="464"/>
      <c r="BE7" s="464"/>
      <c r="BF7" s="464"/>
      <c r="BG7" s="464"/>
      <c r="BH7" s="464"/>
      <c r="BI7" s="464"/>
      <c r="BJ7" s="465"/>
      <c r="BK7" s="41"/>
      <c r="BL7" s="41"/>
      <c r="BM7" s="41"/>
    </row>
    <row r="8" spans="1:65">
      <c r="A8" s="40"/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1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6" t="s">
        <v>138</v>
      </c>
      <c r="AB8" s="466"/>
      <c r="AC8" s="466"/>
      <c r="AD8" s="466"/>
      <c r="AE8" s="466"/>
      <c r="AF8" s="466"/>
      <c r="AG8" s="466"/>
      <c r="AH8" s="466"/>
      <c r="AI8" s="466"/>
      <c r="AJ8" s="466"/>
      <c r="AK8" s="466"/>
      <c r="AL8" s="466"/>
      <c r="AM8" s="466" t="s">
        <v>139</v>
      </c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 t="s">
        <v>140</v>
      </c>
      <c r="AZ8" s="466"/>
      <c r="BA8" s="466"/>
      <c r="BB8" s="466"/>
      <c r="BC8" s="466"/>
      <c r="BD8" s="466"/>
      <c r="BE8" s="466"/>
      <c r="BF8" s="466"/>
      <c r="BG8" s="466"/>
      <c r="BH8" s="466"/>
      <c r="BI8" s="466"/>
      <c r="BJ8" s="467"/>
      <c r="BK8" s="41"/>
      <c r="BL8" s="41"/>
      <c r="BM8" s="41"/>
    </row>
    <row r="9" spans="1:6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2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</row>
    <row r="10" spans="1:65" ht="13.5" customHeight="1">
      <c r="A10" s="40"/>
      <c r="B10" s="40"/>
      <c r="C10" s="435" t="s">
        <v>7</v>
      </c>
      <c r="D10" s="435"/>
      <c r="E10" s="435"/>
      <c r="F10" s="435"/>
      <c r="G10" s="436">
        <v>20</v>
      </c>
      <c r="H10" s="436"/>
      <c r="I10" s="436"/>
      <c r="J10" s="435" t="s">
        <v>1</v>
      </c>
      <c r="K10" s="435"/>
      <c r="L10" s="435"/>
      <c r="M10" s="435"/>
      <c r="N10" s="41"/>
      <c r="O10" s="469">
        <v>3253</v>
      </c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>
        <v>392</v>
      </c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>
        <v>1894</v>
      </c>
      <c r="AN10" s="468"/>
      <c r="AO10" s="468"/>
      <c r="AP10" s="468"/>
      <c r="AQ10" s="468"/>
      <c r="AR10" s="468"/>
      <c r="AS10" s="468"/>
      <c r="AT10" s="468"/>
      <c r="AU10" s="468"/>
      <c r="AV10" s="468"/>
      <c r="AW10" s="468"/>
      <c r="AX10" s="468"/>
      <c r="AY10" s="468">
        <v>967</v>
      </c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1"/>
      <c r="BL10" s="41"/>
      <c r="BM10" s="41"/>
    </row>
    <row r="11" spans="1:65" ht="13.5" customHeight="1">
      <c r="A11" s="40"/>
      <c r="B11" s="40"/>
      <c r="C11" s="40"/>
      <c r="D11" s="40"/>
      <c r="E11" s="40"/>
      <c r="G11" s="436">
        <v>21</v>
      </c>
      <c r="H11" s="436"/>
      <c r="I11" s="436"/>
      <c r="J11" s="40"/>
      <c r="K11" s="40"/>
      <c r="L11" s="40"/>
      <c r="M11" s="40"/>
      <c r="N11" s="43"/>
      <c r="O11" s="447">
        <v>3739</v>
      </c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>
        <v>425</v>
      </c>
      <c r="AB11" s="447"/>
      <c r="AC11" s="447"/>
      <c r="AD11" s="447"/>
      <c r="AE11" s="447"/>
      <c r="AF11" s="447"/>
      <c r="AG11" s="447"/>
      <c r="AH11" s="447"/>
      <c r="AI11" s="447"/>
      <c r="AJ11" s="447"/>
      <c r="AK11" s="447"/>
      <c r="AL11" s="447"/>
      <c r="AM11" s="447">
        <v>2163</v>
      </c>
      <c r="AN11" s="447"/>
      <c r="AO11" s="447"/>
      <c r="AP11" s="447"/>
      <c r="AQ11" s="447"/>
      <c r="AR11" s="447"/>
      <c r="AS11" s="447"/>
      <c r="AT11" s="447"/>
      <c r="AU11" s="447"/>
      <c r="AV11" s="447"/>
      <c r="AW11" s="447"/>
      <c r="AX11" s="447"/>
      <c r="AY11" s="447">
        <v>1151</v>
      </c>
      <c r="AZ11" s="447"/>
      <c r="BA11" s="447"/>
      <c r="BB11" s="447"/>
      <c r="BC11" s="447"/>
      <c r="BD11" s="447"/>
      <c r="BE11" s="447"/>
      <c r="BF11" s="447"/>
      <c r="BG11" s="447"/>
      <c r="BH11" s="447"/>
      <c r="BI11" s="447"/>
      <c r="BJ11" s="447"/>
      <c r="BK11" s="41"/>
      <c r="BL11" s="41"/>
      <c r="BM11" s="41"/>
    </row>
    <row r="12" spans="1:65" ht="13.5" customHeight="1">
      <c r="A12" s="40"/>
      <c r="B12" s="40"/>
      <c r="C12" s="40"/>
      <c r="D12" s="40"/>
      <c r="E12" s="40"/>
      <c r="G12" s="436">
        <v>22</v>
      </c>
      <c r="H12" s="436"/>
      <c r="I12" s="436"/>
      <c r="J12" s="40"/>
      <c r="K12" s="40"/>
      <c r="L12" s="40"/>
      <c r="M12" s="40"/>
      <c r="N12" s="43"/>
      <c r="O12" s="447">
        <v>3814</v>
      </c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>
        <v>365</v>
      </c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>
        <v>2209</v>
      </c>
      <c r="AN12" s="447"/>
      <c r="AO12" s="447"/>
      <c r="AP12" s="447"/>
      <c r="AQ12" s="447"/>
      <c r="AR12" s="447"/>
      <c r="AS12" s="447"/>
      <c r="AT12" s="447"/>
      <c r="AU12" s="447"/>
      <c r="AV12" s="447"/>
      <c r="AW12" s="447"/>
      <c r="AX12" s="447"/>
      <c r="AY12" s="447">
        <v>1240</v>
      </c>
      <c r="AZ12" s="447"/>
      <c r="BA12" s="447"/>
      <c r="BB12" s="447"/>
      <c r="BC12" s="447"/>
      <c r="BD12" s="447"/>
      <c r="BE12" s="447"/>
      <c r="BF12" s="447"/>
      <c r="BG12" s="447"/>
      <c r="BH12" s="447"/>
      <c r="BI12" s="447"/>
      <c r="BJ12" s="447"/>
      <c r="BK12" s="41"/>
      <c r="BL12" s="41"/>
      <c r="BM12" s="41"/>
    </row>
    <row r="13" spans="1:65" ht="13.5" customHeight="1">
      <c r="A13" s="40"/>
      <c r="B13" s="40"/>
      <c r="C13" s="40"/>
      <c r="D13" s="40"/>
      <c r="E13" s="40"/>
      <c r="G13" s="436">
        <v>23</v>
      </c>
      <c r="H13" s="436"/>
      <c r="I13" s="436"/>
      <c r="J13" s="40"/>
      <c r="K13" s="40"/>
      <c r="L13" s="40"/>
      <c r="M13" s="40"/>
      <c r="N13" s="43"/>
      <c r="O13" s="447">
        <v>4181</v>
      </c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>
        <v>336</v>
      </c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>
        <v>2420</v>
      </c>
      <c r="AN13" s="447"/>
      <c r="AO13" s="447"/>
      <c r="AP13" s="447"/>
      <c r="AQ13" s="447"/>
      <c r="AR13" s="447"/>
      <c r="AS13" s="447"/>
      <c r="AT13" s="447"/>
      <c r="AU13" s="447"/>
      <c r="AV13" s="447"/>
      <c r="AW13" s="447"/>
      <c r="AX13" s="447"/>
      <c r="AY13" s="447">
        <v>1425</v>
      </c>
      <c r="AZ13" s="447"/>
      <c r="BA13" s="447"/>
      <c r="BB13" s="447"/>
      <c r="BC13" s="447"/>
      <c r="BD13" s="447"/>
      <c r="BE13" s="447"/>
      <c r="BF13" s="447"/>
      <c r="BG13" s="447"/>
      <c r="BH13" s="447"/>
      <c r="BI13" s="447"/>
      <c r="BJ13" s="447"/>
      <c r="BK13" s="41"/>
      <c r="BL13" s="41"/>
      <c r="BM13" s="41"/>
    </row>
    <row r="14" spans="1:65" ht="13.5" customHeight="1">
      <c r="A14" s="40"/>
      <c r="B14" s="44"/>
      <c r="C14" s="44"/>
      <c r="D14" s="44"/>
      <c r="E14" s="44"/>
      <c r="G14" s="437">
        <v>24</v>
      </c>
      <c r="H14" s="437"/>
      <c r="I14" s="437"/>
      <c r="J14" s="44"/>
      <c r="K14" s="44"/>
      <c r="L14" s="44"/>
      <c r="M14" s="44"/>
      <c r="N14" s="45"/>
      <c r="O14" s="440">
        <v>4494</v>
      </c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0"/>
      <c r="AA14" s="440">
        <v>319</v>
      </c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0">
        <v>2497</v>
      </c>
      <c r="AN14" s="440"/>
      <c r="AO14" s="440"/>
      <c r="AP14" s="440"/>
      <c r="AQ14" s="440"/>
      <c r="AR14" s="440"/>
      <c r="AS14" s="440"/>
      <c r="AT14" s="440"/>
      <c r="AU14" s="440"/>
      <c r="AV14" s="440"/>
      <c r="AW14" s="440"/>
      <c r="AX14" s="440"/>
      <c r="AY14" s="440">
        <v>1678</v>
      </c>
      <c r="AZ14" s="440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1"/>
      <c r="BL14" s="41"/>
      <c r="BM14" s="41"/>
    </row>
    <row r="15" spans="1:65">
      <c r="A15" s="40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1"/>
      <c r="BL15" s="41"/>
      <c r="BM15" s="41"/>
    </row>
    <row r="16" spans="1:65">
      <c r="A16" s="40"/>
      <c r="B16" s="430" t="s">
        <v>9</v>
      </c>
      <c r="C16" s="430"/>
      <c r="D16" s="430"/>
      <c r="E16" s="37" t="s">
        <v>141</v>
      </c>
      <c r="F16" s="18" t="s">
        <v>142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</row>
    <row r="17" spans="2:62" ht="13.5" customHeight="1"/>
    <row r="18" spans="2:62" ht="18" customHeight="1">
      <c r="B18" s="379" t="s">
        <v>449</v>
      </c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79"/>
      <c r="AJ18" s="379"/>
      <c r="AK18" s="379"/>
      <c r="AL18" s="379"/>
      <c r="AM18" s="379"/>
      <c r="AN18" s="379"/>
      <c r="AO18" s="379"/>
      <c r="AP18" s="379"/>
      <c r="AQ18" s="379"/>
      <c r="AR18" s="379"/>
      <c r="AS18" s="379"/>
      <c r="AT18" s="379"/>
      <c r="AU18" s="379"/>
      <c r="AV18" s="379"/>
      <c r="AW18" s="379"/>
      <c r="AX18" s="379"/>
      <c r="AY18" s="379"/>
      <c r="AZ18" s="379"/>
      <c r="BA18" s="379"/>
      <c r="BB18" s="379"/>
      <c r="BC18" s="379"/>
      <c r="BD18" s="379"/>
      <c r="BE18" s="379"/>
      <c r="BF18" s="379"/>
      <c r="BG18" s="379"/>
      <c r="BH18" s="379"/>
      <c r="BI18" s="379"/>
      <c r="BJ18" s="379"/>
    </row>
    <row r="19" spans="2:62">
      <c r="BJ19" s="20" t="s">
        <v>67</v>
      </c>
    </row>
    <row r="20" spans="2:62" ht="13.5" customHeight="1">
      <c r="B20" s="477" t="s">
        <v>68</v>
      </c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387" t="s">
        <v>69</v>
      </c>
      <c r="P20" s="479"/>
      <c r="Q20" s="479"/>
      <c r="R20" s="479"/>
      <c r="S20" s="479"/>
      <c r="T20" s="479"/>
      <c r="U20" s="479"/>
      <c r="V20" s="479"/>
      <c r="W20" s="479"/>
      <c r="X20" s="479"/>
      <c r="Y20" s="479"/>
      <c r="Z20" s="479"/>
      <c r="AA20" s="479"/>
      <c r="AB20" s="479"/>
      <c r="AC20" s="479"/>
      <c r="AD20" s="479"/>
      <c r="AE20" s="479"/>
      <c r="AF20" s="479"/>
      <c r="AG20" s="479"/>
      <c r="AH20" s="479"/>
      <c r="AI20" s="479"/>
      <c r="AJ20" s="479"/>
      <c r="AK20" s="479"/>
      <c r="AL20" s="479"/>
      <c r="AM20" s="479"/>
      <c r="AN20" s="479"/>
      <c r="AO20" s="479"/>
      <c r="AP20" s="479"/>
      <c r="AQ20" s="479"/>
      <c r="AR20" s="479"/>
      <c r="AS20" s="479"/>
      <c r="AT20" s="479"/>
      <c r="AU20" s="479"/>
      <c r="AV20" s="479"/>
      <c r="AW20" s="479"/>
      <c r="AX20" s="480"/>
      <c r="AY20" s="38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</row>
    <row r="21" spans="2:62" ht="13.5" customHeight="1">
      <c r="B21" s="478"/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81" t="s">
        <v>130</v>
      </c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1" t="s">
        <v>133</v>
      </c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3"/>
      <c r="AM21" s="484" t="s">
        <v>122</v>
      </c>
      <c r="AN21" s="485"/>
      <c r="AO21" s="485"/>
      <c r="AP21" s="485"/>
      <c r="AQ21" s="485"/>
      <c r="AR21" s="485"/>
      <c r="AS21" s="485"/>
      <c r="AT21" s="485"/>
      <c r="AU21" s="485"/>
      <c r="AV21" s="485"/>
      <c r="AW21" s="485"/>
      <c r="AX21" s="486"/>
      <c r="AY21" s="488" t="s">
        <v>123</v>
      </c>
      <c r="AZ21" s="489"/>
      <c r="BA21" s="489"/>
      <c r="BB21" s="489"/>
      <c r="BC21" s="489"/>
      <c r="BD21" s="489"/>
      <c r="BE21" s="489"/>
      <c r="BF21" s="489"/>
      <c r="BG21" s="489"/>
      <c r="BH21" s="489"/>
      <c r="BI21" s="489"/>
      <c r="BJ21" s="489"/>
    </row>
    <row r="22" spans="2:62" ht="13.5" customHeight="1"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88" t="s">
        <v>131</v>
      </c>
      <c r="P22" s="490"/>
      <c r="Q22" s="490"/>
      <c r="R22" s="490"/>
      <c r="S22" s="490"/>
      <c r="T22" s="490"/>
      <c r="U22" s="490"/>
      <c r="V22" s="490"/>
      <c r="W22" s="490"/>
      <c r="X22" s="490"/>
      <c r="Y22" s="490"/>
      <c r="Z22" s="490"/>
      <c r="AA22" s="488" t="s">
        <v>121</v>
      </c>
      <c r="AB22" s="490"/>
      <c r="AC22" s="490"/>
      <c r="AD22" s="490"/>
      <c r="AE22" s="490"/>
      <c r="AF22" s="490"/>
      <c r="AG22" s="490"/>
      <c r="AH22" s="490"/>
      <c r="AI22" s="490"/>
      <c r="AJ22" s="490"/>
      <c r="AK22" s="490"/>
      <c r="AL22" s="491"/>
      <c r="AM22" s="478"/>
      <c r="AN22" s="478"/>
      <c r="AO22" s="478"/>
      <c r="AP22" s="478"/>
      <c r="AQ22" s="478"/>
      <c r="AR22" s="478"/>
      <c r="AS22" s="478"/>
      <c r="AT22" s="478"/>
      <c r="AU22" s="478"/>
      <c r="AV22" s="478"/>
      <c r="AW22" s="478"/>
      <c r="AX22" s="487"/>
      <c r="AY22" s="488" t="s">
        <v>135</v>
      </c>
      <c r="AZ22" s="489"/>
      <c r="BA22" s="489"/>
      <c r="BB22" s="489"/>
      <c r="BC22" s="489"/>
      <c r="BD22" s="489"/>
      <c r="BE22" s="489"/>
      <c r="BF22" s="489"/>
      <c r="BG22" s="489"/>
      <c r="BH22" s="489"/>
      <c r="BI22" s="489"/>
      <c r="BJ22" s="489"/>
    </row>
    <row r="23" spans="2:62" ht="13.5" customHeight="1"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2" t="s">
        <v>132</v>
      </c>
      <c r="P23" s="473"/>
      <c r="Q23" s="473"/>
      <c r="R23" s="473"/>
      <c r="S23" s="473"/>
      <c r="T23" s="473"/>
      <c r="U23" s="473"/>
      <c r="V23" s="473"/>
      <c r="W23" s="473"/>
      <c r="X23" s="473"/>
      <c r="Y23" s="473"/>
      <c r="Z23" s="473"/>
      <c r="AA23" s="472" t="s">
        <v>134</v>
      </c>
      <c r="AB23" s="473"/>
      <c r="AC23" s="473"/>
      <c r="AD23" s="473"/>
      <c r="AE23" s="473"/>
      <c r="AF23" s="473"/>
      <c r="AG23" s="473"/>
      <c r="AH23" s="473"/>
      <c r="AI23" s="473"/>
      <c r="AJ23" s="473"/>
      <c r="AK23" s="473"/>
      <c r="AL23" s="474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383"/>
      <c r="AY23" s="27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</row>
    <row r="24" spans="2:62" ht="7.5" customHeigh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1"/>
    </row>
    <row r="25" spans="2:62" ht="13.5" customHeight="1">
      <c r="B25" s="6"/>
      <c r="C25" s="476" t="s">
        <v>70</v>
      </c>
      <c r="D25" s="476"/>
      <c r="E25" s="476"/>
      <c r="F25" s="476"/>
      <c r="G25" s="417">
        <v>20</v>
      </c>
      <c r="H25" s="417"/>
      <c r="I25" s="417"/>
      <c r="J25" s="476" t="s">
        <v>68</v>
      </c>
      <c r="K25" s="476"/>
      <c r="L25" s="476"/>
      <c r="M25" s="476"/>
      <c r="N25" s="22"/>
      <c r="O25" s="402">
        <v>9963</v>
      </c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2">
        <v>519</v>
      </c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>
        <v>844</v>
      </c>
      <c r="AN25" s="402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>
        <v>5487</v>
      </c>
      <c r="AZ25" s="403"/>
      <c r="BA25" s="403"/>
      <c r="BB25" s="403"/>
      <c r="BC25" s="403"/>
      <c r="BD25" s="403"/>
      <c r="BE25" s="403"/>
      <c r="BF25" s="403"/>
      <c r="BG25" s="403"/>
      <c r="BH25" s="403"/>
      <c r="BI25" s="403"/>
      <c r="BJ25" s="403"/>
    </row>
    <row r="26" spans="2:62" ht="13.5" customHeight="1">
      <c r="B26" s="6"/>
      <c r="C26" s="6"/>
      <c r="D26" s="6"/>
      <c r="E26" s="6"/>
      <c r="F26" s="6"/>
      <c r="G26" s="417">
        <v>21</v>
      </c>
      <c r="H26" s="417"/>
      <c r="I26" s="417"/>
      <c r="J26" s="6"/>
      <c r="K26" s="6"/>
      <c r="L26" s="6"/>
      <c r="M26" s="6"/>
      <c r="N26" s="22"/>
      <c r="O26" s="402">
        <v>10047</v>
      </c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2">
        <v>539</v>
      </c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>
        <v>896</v>
      </c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>
        <v>5459</v>
      </c>
      <c r="AZ26" s="403"/>
      <c r="BA26" s="403"/>
      <c r="BB26" s="403"/>
      <c r="BC26" s="403"/>
      <c r="BD26" s="403"/>
      <c r="BE26" s="403"/>
      <c r="BF26" s="403"/>
      <c r="BG26" s="403"/>
      <c r="BH26" s="403"/>
      <c r="BI26" s="403"/>
      <c r="BJ26" s="403"/>
    </row>
    <row r="27" spans="2:62" ht="13.5" customHeight="1">
      <c r="B27" s="6"/>
      <c r="C27" s="6"/>
      <c r="D27" s="6"/>
      <c r="E27" s="6"/>
      <c r="F27" s="6"/>
      <c r="G27" s="417">
        <v>22</v>
      </c>
      <c r="H27" s="417"/>
      <c r="I27" s="417"/>
      <c r="J27" s="6"/>
      <c r="K27" s="6"/>
      <c r="L27" s="6"/>
      <c r="M27" s="6"/>
      <c r="N27" s="22"/>
      <c r="O27" s="402">
        <v>10152</v>
      </c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2">
        <v>552</v>
      </c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>
        <v>922</v>
      </c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>
        <v>5474</v>
      </c>
      <c r="AZ27" s="403"/>
      <c r="BA27" s="403"/>
      <c r="BB27" s="403"/>
      <c r="BC27" s="403"/>
      <c r="BD27" s="403"/>
      <c r="BE27" s="403"/>
      <c r="BF27" s="403"/>
      <c r="BG27" s="403"/>
      <c r="BH27" s="403"/>
      <c r="BI27" s="403"/>
      <c r="BJ27" s="403"/>
    </row>
    <row r="28" spans="2:62" ht="13.5" customHeight="1">
      <c r="B28" s="6"/>
      <c r="C28" s="6"/>
      <c r="D28" s="6"/>
      <c r="E28" s="6"/>
      <c r="F28" s="6"/>
      <c r="G28" s="417">
        <v>23</v>
      </c>
      <c r="H28" s="417"/>
      <c r="I28" s="417"/>
      <c r="J28" s="6"/>
      <c r="K28" s="6"/>
      <c r="L28" s="6"/>
      <c r="M28" s="6"/>
      <c r="N28" s="22"/>
      <c r="O28" s="402">
        <v>10262</v>
      </c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2">
        <v>557</v>
      </c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>
        <v>946</v>
      </c>
      <c r="AN28" s="402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>
        <v>5453</v>
      </c>
      <c r="AZ28" s="403"/>
      <c r="BA28" s="403"/>
      <c r="BB28" s="403"/>
      <c r="BC28" s="403"/>
      <c r="BD28" s="403"/>
      <c r="BE28" s="403"/>
      <c r="BF28" s="403"/>
      <c r="BG28" s="403"/>
      <c r="BH28" s="403"/>
      <c r="BI28" s="403"/>
      <c r="BJ28" s="403"/>
    </row>
    <row r="29" spans="2:62" ht="13.5" customHeight="1">
      <c r="B29" s="6"/>
      <c r="C29" s="6"/>
      <c r="D29" s="6"/>
      <c r="E29" s="6"/>
      <c r="F29" s="6"/>
      <c r="G29" s="475">
        <v>24</v>
      </c>
      <c r="H29" s="475"/>
      <c r="I29" s="475"/>
      <c r="J29" s="6"/>
      <c r="K29" s="6"/>
      <c r="L29" s="6"/>
      <c r="M29" s="6"/>
      <c r="N29" s="22"/>
      <c r="O29" s="405">
        <v>10334</v>
      </c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>
        <v>556</v>
      </c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  <c r="AM29" s="405">
        <v>947</v>
      </c>
      <c r="AN29" s="405"/>
      <c r="AO29" s="405"/>
      <c r="AP29" s="405"/>
      <c r="AQ29" s="405"/>
      <c r="AR29" s="405"/>
      <c r="AS29" s="405"/>
      <c r="AT29" s="405"/>
      <c r="AU29" s="405"/>
      <c r="AV29" s="405"/>
      <c r="AW29" s="405"/>
      <c r="AX29" s="405"/>
      <c r="AY29" s="405">
        <v>5377</v>
      </c>
      <c r="AZ29" s="405"/>
      <c r="BA29" s="405"/>
      <c r="BB29" s="405"/>
      <c r="BC29" s="405"/>
      <c r="BD29" s="405"/>
      <c r="BE29" s="405"/>
      <c r="BF29" s="405"/>
      <c r="BG29" s="405"/>
      <c r="BH29" s="405"/>
      <c r="BI29" s="405"/>
      <c r="BJ29" s="405"/>
    </row>
    <row r="30" spans="2:62" ht="7.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2:62" ht="13.5" customHeight="1">
      <c r="B31" s="404" t="s">
        <v>72</v>
      </c>
      <c r="C31" s="404"/>
      <c r="D31" s="404"/>
      <c r="E31" s="33" t="s">
        <v>73</v>
      </c>
      <c r="F31" s="2" t="s">
        <v>74</v>
      </c>
    </row>
    <row r="33" spans="2:62" ht="18" customHeight="1">
      <c r="B33" s="379" t="s">
        <v>391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379"/>
      <c r="BG33" s="379"/>
      <c r="BH33" s="379"/>
      <c r="BI33" s="379"/>
      <c r="BJ33" s="379"/>
    </row>
    <row r="34" spans="2:62" ht="12.95" customHeight="1">
      <c r="B34" s="380" t="s">
        <v>75</v>
      </c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80"/>
      <c r="BG34" s="380"/>
      <c r="BH34" s="380"/>
      <c r="BI34" s="380"/>
      <c r="BJ34" s="380"/>
    </row>
    <row r="35" spans="2:62" ht="12.95" customHeight="1">
      <c r="BJ35" s="20" t="s">
        <v>76</v>
      </c>
    </row>
    <row r="36" spans="2:62">
      <c r="B36" s="411" t="s">
        <v>435</v>
      </c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 t="s">
        <v>78</v>
      </c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 t="s">
        <v>79</v>
      </c>
      <c r="AB36" s="386"/>
      <c r="AC36" s="386"/>
      <c r="AD36" s="386"/>
      <c r="AE36" s="386"/>
      <c r="AF36" s="386"/>
      <c r="AG36" s="386"/>
      <c r="AH36" s="386"/>
      <c r="AI36" s="386"/>
      <c r="AJ36" s="386"/>
      <c r="AK36" s="386"/>
      <c r="AL36" s="386"/>
      <c r="AM36" s="386" t="s">
        <v>80</v>
      </c>
      <c r="AN36" s="386"/>
      <c r="AO36" s="386"/>
      <c r="AP36" s="386"/>
      <c r="AQ36" s="386"/>
      <c r="AR36" s="386"/>
      <c r="AS36" s="386"/>
      <c r="AT36" s="386"/>
      <c r="AU36" s="386"/>
      <c r="AV36" s="386"/>
      <c r="AW36" s="386"/>
      <c r="AX36" s="386"/>
      <c r="AY36" s="386" t="s">
        <v>81</v>
      </c>
      <c r="AZ36" s="386"/>
      <c r="BA36" s="386"/>
      <c r="BB36" s="386"/>
      <c r="BC36" s="386"/>
      <c r="BD36" s="386"/>
      <c r="BE36" s="386"/>
      <c r="BF36" s="386"/>
      <c r="BG36" s="386"/>
      <c r="BH36" s="386"/>
      <c r="BI36" s="386"/>
      <c r="BJ36" s="387"/>
    </row>
    <row r="37" spans="2:62">
      <c r="B37" s="412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470" t="s">
        <v>82</v>
      </c>
      <c r="P37" s="470"/>
      <c r="Q37" s="470"/>
      <c r="R37" s="470"/>
      <c r="S37" s="470" t="s">
        <v>83</v>
      </c>
      <c r="T37" s="470"/>
      <c r="U37" s="470"/>
      <c r="V37" s="470"/>
      <c r="W37" s="470" t="s">
        <v>84</v>
      </c>
      <c r="X37" s="470"/>
      <c r="Y37" s="470"/>
      <c r="Z37" s="470"/>
      <c r="AA37" s="470" t="s">
        <v>82</v>
      </c>
      <c r="AB37" s="470"/>
      <c r="AC37" s="470"/>
      <c r="AD37" s="470"/>
      <c r="AE37" s="470" t="s">
        <v>83</v>
      </c>
      <c r="AF37" s="470"/>
      <c r="AG37" s="470"/>
      <c r="AH37" s="470"/>
      <c r="AI37" s="470" t="s">
        <v>84</v>
      </c>
      <c r="AJ37" s="470"/>
      <c r="AK37" s="470"/>
      <c r="AL37" s="470"/>
      <c r="AM37" s="470" t="s">
        <v>82</v>
      </c>
      <c r="AN37" s="470"/>
      <c r="AO37" s="470"/>
      <c r="AP37" s="470"/>
      <c r="AQ37" s="470" t="s">
        <v>83</v>
      </c>
      <c r="AR37" s="470"/>
      <c r="AS37" s="470"/>
      <c r="AT37" s="470"/>
      <c r="AU37" s="470" t="s">
        <v>84</v>
      </c>
      <c r="AV37" s="470"/>
      <c r="AW37" s="470"/>
      <c r="AX37" s="470"/>
      <c r="AY37" s="470" t="s">
        <v>82</v>
      </c>
      <c r="AZ37" s="470"/>
      <c r="BA37" s="470"/>
      <c r="BB37" s="470"/>
      <c r="BC37" s="470" t="s">
        <v>83</v>
      </c>
      <c r="BD37" s="470"/>
      <c r="BE37" s="470"/>
      <c r="BF37" s="470"/>
      <c r="BG37" s="470" t="s">
        <v>84</v>
      </c>
      <c r="BH37" s="470"/>
      <c r="BI37" s="470"/>
      <c r="BJ37" s="471"/>
    </row>
    <row r="38" spans="2:62" ht="7.5" customHeight="1">
      <c r="N38" s="21"/>
    </row>
    <row r="39" spans="2:62" ht="13.5" customHeight="1">
      <c r="C39" s="389" t="s">
        <v>70</v>
      </c>
      <c r="D39" s="389"/>
      <c r="E39" s="389"/>
      <c r="F39" s="389"/>
      <c r="G39" s="380">
        <v>21</v>
      </c>
      <c r="H39" s="380"/>
      <c r="I39" s="380"/>
      <c r="J39" s="380" t="s">
        <v>77</v>
      </c>
      <c r="K39" s="380"/>
      <c r="L39" s="380"/>
      <c r="M39" s="380"/>
      <c r="N39" s="22"/>
      <c r="O39" s="414">
        <v>39</v>
      </c>
      <c r="P39" s="414"/>
      <c r="Q39" s="414"/>
      <c r="R39" s="414"/>
      <c r="S39" s="402">
        <v>19</v>
      </c>
      <c r="T39" s="402"/>
      <c r="U39" s="402"/>
      <c r="V39" s="402"/>
      <c r="W39" s="402">
        <v>20</v>
      </c>
      <c r="X39" s="402"/>
      <c r="Y39" s="402"/>
      <c r="Z39" s="402"/>
      <c r="AA39" s="414">
        <v>61</v>
      </c>
      <c r="AB39" s="414"/>
      <c r="AC39" s="414"/>
      <c r="AD39" s="414"/>
      <c r="AE39" s="402">
        <v>40</v>
      </c>
      <c r="AF39" s="402"/>
      <c r="AG39" s="402"/>
      <c r="AH39" s="402"/>
      <c r="AI39" s="402">
        <v>21</v>
      </c>
      <c r="AJ39" s="402"/>
      <c r="AK39" s="402"/>
      <c r="AL39" s="402"/>
      <c r="AM39" s="402">
        <v>68</v>
      </c>
      <c r="AN39" s="402"/>
      <c r="AO39" s="402"/>
      <c r="AP39" s="402"/>
      <c r="AQ39" s="402">
        <v>40</v>
      </c>
      <c r="AR39" s="402"/>
      <c r="AS39" s="402"/>
      <c r="AT39" s="402"/>
      <c r="AU39" s="402">
        <v>28</v>
      </c>
      <c r="AV39" s="402"/>
      <c r="AW39" s="402"/>
      <c r="AX39" s="402"/>
      <c r="AY39" s="414">
        <v>49</v>
      </c>
      <c r="AZ39" s="414"/>
      <c r="BA39" s="414"/>
      <c r="BB39" s="414"/>
      <c r="BC39" s="402">
        <v>24</v>
      </c>
      <c r="BD39" s="402"/>
      <c r="BE39" s="402"/>
      <c r="BF39" s="402"/>
      <c r="BG39" s="402">
        <v>25</v>
      </c>
      <c r="BH39" s="402"/>
      <c r="BI39" s="402"/>
      <c r="BJ39" s="402"/>
    </row>
    <row r="40" spans="2:62" ht="13.5" customHeight="1">
      <c r="G40" s="380">
        <v>22</v>
      </c>
      <c r="H40" s="380"/>
      <c r="I40" s="380"/>
      <c r="N40" s="22"/>
      <c r="O40" s="414">
        <v>41</v>
      </c>
      <c r="P40" s="414"/>
      <c r="Q40" s="414"/>
      <c r="R40" s="414"/>
      <c r="S40" s="414">
        <v>22</v>
      </c>
      <c r="T40" s="414"/>
      <c r="U40" s="414"/>
      <c r="V40" s="414"/>
      <c r="W40" s="414">
        <v>19</v>
      </c>
      <c r="X40" s="414"/>
      <c r="Y40" s="414"/>
      <c r="Z40" s="414"/>
      <c r="AA40" s="414">
        <v>62</v>
      </c>
      <c r="AB40" s="414"/>
      <c r="AC40" s="414"/>
      <c r="AD40" s="414"/>
      <c r="AE40" s="414">
        <v>42</v>
      </c>
      <c r="AF40" s="414"/>
      <c r="AG40" s="414"/>
      <c r="AH40" s="414"/>
      <c r="AI40" s="414">
        <v>20</v>
      </c>
      <c r="AJ40" s="414"/>
      <c r="AK40" s="414"/>
      <c r="AL40" s="414"/>
      <c r="AM40" s="402">
        <v>68</v>
      </c>
      <c r="AN40" s="402"/>
      <c r="AO40" s="402"/>
      <c r="AP40" s="402"/>
      <c r="AQ40" s="414">
        <v>40</v>
      </c>
      <c r="AR40" s="414"/>
      <c r="AS40" s="414"/>
      <c r="AT40" s="414"/>
      <c r="AU40" s="414">
        <v>28</v>
      </c>
      <c r="AV40" s="414"/>
      <c r="AW40" s="414"/>
      <c r="AX40" s="414"/>
      <c r="AY40" s="414">
        <v>48</v>
      </c>
      <c r="AZ40" s="414"/>
      <c r="BA40" s="414"/>
      <c r="BB40" s="414"/>
      <c r="BC40" s="414">
        <v>23</v>
      </c>
      <c r="BD40" s="414"/>
      <c r="BE40" s="414"/>
      <c r="BF40" s="414"/>
      <c r="BG40" s="414">
        <v>25</v>
      </c>
      <c r="BH40" s="414"/>
      <c r="BI40" s="414"/>
      <c r="BJ40" s="414"/>
    </row>
    <row r="41" spans="2:62" ht="13.5" customHeight="1">
      <c r="G41" s="380">
        <v>23</v>
      </c>
      <c r="H41" s="380"/>
      <c r="I41" s="380"/>
      <c r="N41" s="22"/>
      <c r="O41" s="414">
        <v>39</v>
      </c>
      <c r="P41" s="414"/>
      <c r="Q41" s="414"/>
      <c r="R41" s="414"/>
      <c r="S41" s="414">
        <v>22</v>
      </c>
      <c r="T41" s="414"/>
      <c r="U41" s="414"/>
      <c r="V41" s="414"/>
      <c r="W41" s="414">
        <v>17</v>
      </c>
      <c r="X41" s="414"/>
      <c r="Y41" s="414"/>
      <c r="Z41" s="414"/>
      <c r="AA41" s="414">
        <v>64</v>
      </c>
      <c r="AB41" s="414"/>
      <c r="AC41" s="414"/>
      <c r="AD41" s="414"/>
      <c r="AE41" s="414">
        <v>44</v>
      </c>
      <c r="AF41" s="414"/>
      <c r="AG41" s="414"/>
      <c r="AH41" s="414"/>
      <c r="AI41" s="414">
        <v>20</v>
      </c>
      <c r="AJ41" s="414"/>
      <c r="AK41" s="414"/>
      <c r="AL41" s="414"/>
      <c r="AM41" s="402">
        <v>68</v>
      </c>
      <c r="AN41" s="402"/>
      <c r="AO41" s="402"/>
      <c r="AP41" s="402"/>
      <c r="AQ41" s="414">
        <v>40</v>
      </c>
      <c r="AR41" s="414"/>
      <c r="AS41" s="414"/>
      <c r="AT41" s="414"/>
      <c r="AU41" s="414">
        <v>28</v>
      </c>
      <c r="AV41" s="414"/>
      <c r="AW41" s="414"/>
      <c r="AX41" s="414"/>
      <c r="AY41" s="414">
        <v>50</v>
      </c>
      <c r="AZ41" s="414"/>
      <c r="BA41" s="414"/>
      <c r="BB41" s="414"/>
      <c r="BC41" s="414">
        <v>24</v>
      </c>
      <c r="BD41" s="414"/>
      <c r="BE41" s="414"/>
      <c r="BF41" s="414"/>
      <c r="BG41" s="414">
        <v>26</v>
      </c>
      <c r="BH41" s="414"/>
      <c r="BI41" s="414"/>
      <c r="BJ41" s="414"/>
    </row>
    <row r="42" spans="2:62" ht="13.5" customHeight="1">
      <c r="G42" s="380">
        <v>24</v>
      </c>
      <c r="H42" s="380"/>
      <c r="I42" s="380"/>
      <c r="N42" s="22"/>
      <c r="O42" s="414">
        <v>37</v>
      </c>
      <c r="P42" s="414"/>
      <c r="Q42" s="414"/>
      <c r="R42" s="414"/>
      <c r="S42" s="414">
        <v>21</v>
      </c>
      <c r="T42" s="414"/>
      <c r="U42" s="414"/>
      <c r="V42" s="414"/>
      <c r="W42" s="414">
        <v>16</v>
      </c>
      <c r="X42" s="414"/>
      <c r="Y42" s="414"/>
      <c r="Z42" s="414"/>
      <c r="AA42" s="414">
        <v>60</v>
      </c>
      <c r="AB42" s="414"/>
      <c r="AC42" s="414"/>
      <c r="AD42" s="414"/>
      <c r="AE42" s="414">
        <v>41</v>
      </c>
      <c r="AF42" s="414"/>
      <c r="AG42" s="414"/>
      <c r="AH42" s="414"/>
      <c r="AI42" s="414">
        <v>19</v>
      </c>
      <c r="AJ42" s="414"/>
      <c r="AK42" s="414"/>
      <c r="AL42" s="414"/>
      <c r="AM42" s="402">
        <v>68</v>
      </c>
      <c r="AN42" s="402"/>
      <c r="AO42" s="402"/>
      <c r="AP42" s="402"/>
      <c r="AQ42" s="414">
        <v>40</v>
      </c>
      <c r="AR42" s="414"/>
      <c r="AS42" s="414"/>
      <c r="AT42" s="414"/>
      <c r="AU42" s="414">
        <v>28</v>
      </c>
      <c r="AV42" s="414"/>
      <c r="AW42" s="414"/>
      <c r="AX42" s="414"/>
      <c r="AY42" s="414">
        <v>51</v>
      </c>
      <c r="AZ42" s="414"/>
      <c r="BA42" s="414"/>
      <c r="BB42" s="414"/>
      <c r="BC42" s="414">
        <v>26</v>
      </c>
      <c r="BD42" s="414"/>
      <c r="BE42" s="414"/>
      <c r="BF42" s="414"/>
      <c r="BG42" s="414">
        <v>25</v>
      </c>
      <c r="BH42" s="414"/>
      <c r="BI42" s="414"/>
      <c r="BJ42" s="414"/>
    </row>
    <row r="43" spans="2:62" ht="13.5" customHeight="1">
      <c r="G43" s="392">
        <v>25</v>
      </c>
      <c r="H43" s="392"/>
      <c r="I43" s="392"/>
      <c r="N43" s="22"/>
      <c r="O43" s="405">
        <f>SUM(S43:Z43)</f>
        <v>34</v>
      </c>
      <c r="P43" s="405"/>
      <c r="Q43" s="405"/>
      <c r="R43" s="405"/>
      <c r="S43" s="405">
        <v>19</v>
      </c>
      <c r="T43" s="405"/>
      <c r="U43" s="405"/>
      <c r="V43" s="405"/>
      <c r="W43" s="405">
        <v>15</v>
      </c>
      <c r="X43" s="405"/>
      <c r="Y43" s="405"/>
      <c r="Z43" s="405"/>
      <c r="AA43" s="405">
        <f>SUM(AE43:AL43)</f>
        <v>58</v>
      </c>
      <c r="AB43" s="405"/>
      <c r="AC43" s="405"/>
      <c r="AD43" s="405"/>
      <c r="AE43" s="405">
        <v>42</v>
      </c>
      <c r="AF43" s="405"/>
      <c r="AG43" s="405"/>
      <c r="AH43" s="405"/>
      <c r="AI43" s="405">
        <v>16</v>
      </c>
      <c r="AJ43" s="405"/>
      <c r="AK43" s="405"/>
      <c r="AL43" s="405"/>
      <c r="AM43" s="405">
        <f>SUM(AQ43:AX43)</f>
        <v>68</v>
      </c>
      <c r="AN43" s="405"/>
      <c r="AO43" s="405"/>
      <c r="AP43" s="405"/>
      <c r="AQ43" s="405">
        <v>41</v>
      </c>
      <c r="AR43" s="405"/>
      <c r="AS43" s="405"/>
      <c r="AT43" s="405"/>
      <c r="AU43" s="405">
        <v>27</v>
      </c>
      <c r="AV43" s="405"/>
      <c r="AW43" s="405"/>
      <c r="AX43" s="405"/>
      <c r="AY43" s="405">
        <f>SUM(BC43:BJ43)</f>
        <v>49</v>
      </c>
      <c r="AZ43" s="405"/>
      <c r="BA43" s="405"/>
      <c r="BB43" s="405"/>
      <c r="BC43" s="405">
        <v>25</v>
      </c>
      <c r="BD43" s="405"/>
      <c r="BE43" s="405"/>
      <c r="BF43" s="405"/>
      <c r="BG43" s="405">
        <v>24</v>
      </c>
      <c r="BH43" s="405"/>
      <c r="BI43" s="405"/>
      <c r="BJ43" s="405"/>
    </row>
    <row r="44" spans="2:62" ht="7.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2:62" ht="13.5" customHeight="1">
      <c r="B45" s="410" t="s">
        <v>72</v>
      </c>
      <c r="C45" s="410"/>
      <c r="D45" s="410"/>
      <c r="E45" s="33" t="s">
        <v>73</v>
      </c>
      <c r="F45" s="2" t="s">
        <v>85</v>
      </c>
    </row>
    <row r="47" spans="2:62" ht="12.75" customHeight="1">
      <c r="B47" s="380" t="s">
        <v>86</v>
      </c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0"/>
      <c r="AL47" s="380"/>
      <c r="AM47" s="380"/>
      <c r="AN47" s="380"/>
      <c r="AO47" s="380"/>
      <c r="AP47" s="380"/>
      <c r="AQ47" s="380"/>
      <c r="AR47" s="380"/>
      <c r="AS47" s="380"/>
      <c r="AT47" s="380"/>
      <c r="AU47" s="380"/>
      <c r="AV47" s="380"/>
      <c r="AW47" s="380"/>
      <c r="AX47" s="380"/>
      <c r="AY47" s="380"/>
      <c r="AZ47" s="380"/>
      <c r="BA47" s="380"/>
      <c r="BB47" s="380"/>
      <c r="BC47" s="380"/>
      <c r="BD47" s="380"/>
      <c r="BE47" s="380"/>
      <c r="BF47" s="380"/>
      <c r="BG47" s="380"/>
      <c r="BH47" s="380"/>
      <c r="BI47" s="380"/>
      <c r="BJ47" s="380"/>
    </row>
    <row r="48" spans="2:6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2:62" ht="13.5" customHeight="1">
      <c r="B49" s="411" t="s">
        <v>68</v>
      </c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 t="s">
        <v>78</v>
      </c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 t="s">
        <v>79</v>
      </c>
      <c r="AN49" s="386"/>
      <c r="AO49" s="386"/>
      <c r="AP49" s="386"/>
      <c r="AQ49" s="386"/>
      <c r="AR49" s="386"/>
      <c r="AS49" s="386"/>
      <c r="AT49" s="386"/>
      <c r="AU49" s="386"/>
      <c r="AV49" s="386"/>
      <c r="AW49" s="386"/>
      <c r="AX49" s="386"/>
      <c r="AY49" s="386"/>
      <c r="AZ49" s="386"/>
      <c r="BA49" s="386"/>
      <c r="BB49" s="386"/>
      <c r="BC49" s="386"/>
      <c r="BD49" s="386"/>
      <c r="BE49" s="386"/>
      <c r="BF49" s="386"/>
      <c r="BG49" s="386"/>
      <c r="BH49" s="386"/>
      <c r="BI49" s="386"/>
      <c r="BJ49" s="387"/>
    </row>
    <row r="50" spans="2:62">
      <c r="B50" s="412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 t="s">
        <v>87</v>
      </c>
      <c r="P50" s="385"/>
      <c r="Q50" s="385"/>
      <c r="R50" s="385"/>
      <c r="S50" s="385"/>
      <c r="T50" s="385"/>
      <c r="U50" s="385"/>
      <c r="V50" s="385"/>
      <c r="W50" s="385" t="s">
        <v>88</v>
      </c>
      <c r="X50" s="385"/>
      <c r="Y50" s="385"/>
      <c r="Z50" s="385"/>
      <c r="AA50" s="385"/>
      <c r="AB50" s="385"/>
      <c r="AC50" s="385"/>
      <c r="AD50" s="385"/>
      <c r="AE50" s="385" t="s">
        <v>89</v>
      </c>
      <c r="AF50" s="385"/>
      <c r="AG50" s="385"/>
      <c r="AH50" s="385"/>
      <c r="AI50" s="385"/>
      <c r="AJ50" s="385"/>
      <c r="AK50" s="385"/>
      <c r="AL50" s="385"/>
      <c r="AM50" s="385" t="s">
        <v>87</v>
      </c>
      <c r="AN50" s="385"/>
      <c r="AO50" s="385"/>
      <c r="AP50" s="385"/>
      <c r="AQ50" s="385"/>
      <c r="AR50" s="385"/>
      <c r="AS50" s="385"/>
      <c r="AT50" s="385"/>
      <c r="AU50" s="385" t="s">
        <v>88</v>
      </c>
      <c r="AV50" s="385"/>
      <c r="AW50" s="385"/>
      <c r="AX50" s="385"/>
      <c r="AY50" s="385"/>
      <c r="AZ50" s="385"/>
      <c r="BA50" s="385"/>
      <c r="BB50" s="385"/>
      <c r="BC50" s="385" t="s">
        <v>89</v>
      </c>
      <c r="BD50" s="385"/>
      <c r="BE50" s="385"/>
      <c r="BF50" s="385"/>
      <c r="BG50" s="385"/>
      <c r="BH50" s="385"/>
      <c r="BI50" s="385"/>
      <c r="BJ50" s="388"/>
    </row>
    <row r="51" spans="2:62">
      <c r="N51" s="21"/>
      <c r="U51" s="417" t="s">
        <v>90</v>
      </c>
      <c r="V51" s="417"/>
      <c r="AK51" s="417" t="s">
        <v>90</v>
      </c>
      <c r="AL51" s="417"/>
      <c r="AS51" s="417" t="s">
        <v>90</v>
      </c>
      <c r="AT51" s="417"/>
      <c r="BI51" s="417" t="s">
        <v>90</v>
      </c>
      <c r="BJ51" s="417"/>
    </row>
    <row r="52" spans="2:62" ht="7.5" customHeight="1">
      <c r="N52" s="22"/>
    </row>
    <row r="53" spans="2:62" ht="13.5" customHeight="1">
      <c r="C53" s="389" t="s">
        <v>70</v>
      </c>
      <c r="D53" s="389"/>
      <c r="E53" s="389"/>
      <c r="F53" s="389"/>
      <c r="G53" s="380">
        <v>20</v>
      </c>
      <c r="H53" s="380"/>
      <c r="I53" s="380"/>
      <c r="J53" s="389" t="s">
        <v>68</v>
      </c>
      <c r="K53" s="389"/>
      <c r="L53" s="389"/>
      <c r="M53" s="389"/>
      <c r="N53" s="22"/>
      <c r="O53" s="402">
        <v>3962304</v>
      </c>
      <c r="P53" s="402"/>
      <c r="Q53" s="402"/>
      <c r="R53" s="402"/>
      <c r="S53" s="402"/>
      <c r="T53" s="402"/>
      <c r="U53" s="402"/>
      <c r="V53" s="402"/>
      <c r="W53" s="402">
        <v>465</v>
      </c>
      <c r="X53" s="402"/>
      <c r="Y53" s="402"/>
      <c r="Z53" s="402"/>
      <c r="AA53" s="402"/>
      <c r="AB53" s="402"/>
      <c r="AC53" s="402"/>
      <c r="AD53" s="402"/>
      <c r="AE53" s="402">
        <v>8521</v>
      </c>
      <c r="AF53" s="402"/>
      <c r="AG53" s="402"/>
      <c r="AH53" s="402"/>
      <c r="AI53" s="402"/>
      <c r="AJ53" s="402"/>
      <c r="AK53" s="402"/>
      <c r="AL53" s="402"/>
      <c r="AM53" s="402">
        <v>10275784</v>
      </c>
      <c r="AN53" s="402"/>
      <c r="AO53" s="402"/>
      <c r="AP53" s="402"/>
      <c r="AQ53" s="402"/>
      <c r="AR53" s="402"/>
      <c r="AS53" s="402"/>
      <c r="AT53" s="402"/>
      <c r="AU53" s="402">
        <v>721</v>
      </c>
      <c r="AV53" s="402"/>
      <c r="AW53" s="402"/>
      <c r="AX53" s="402"/>
      <c r="AY53" s="402"/>
      <c r="AZ53" s="402"/>
      <c r="BA53" s="402"/>
      <c r="BB53" s="402"/>
      <c r="BC53" s="402">
        <v>14252</v>
      </c>
      <c r="BD53" s="402"/>
      <c r="BE53" s="402"/>
      <c r="BF53" s="402"/>
      <c r="BG53" s="402"/>
      <c r="BH53" s="402"/>
      <c r="BI53" s="402"/>
      <c r="BJ53" s="402"/>
    </row>
    <row r="54" spans="2:62" ht="13.5" customHeight="1">
      <c r="G54" s="380">
        <v>21</v>
      </c>
      <c r="H54" s="380"/>
      <c r="I54" s="380"/>
      <c r="N54" s="22"/>
      <c r="O54" s="414">
        <v>4411315</v>
      </c>
      <c r="P54" s="414"/>
      <c r="Q54" s="414"/>
      <c r="R54" s="414"/>
      <c r="S54" s="414"/>
      <c r="T54" s="414"/>
      <c r="U54" s="414"/>
      <c r="V54" s="414"/>
      <c r="W54" s="414">
        <v>454</v>
      </c>
      <c r="X54" s="414"/>
      <c r="Y54" s="414"/>
      <c r="Z54" s="414"/>
      <c r="AA54" s="414"/>
      <c r="AB54" s="414"/>
      <c r="AC54" s="414"/>
      <c r="AD54" s="414"/>
      <c r="AE54" s="414">
        <v>9717</v>
      </c>
      <c r="AF54" s="414"/>
      <c r="AG54" s="414"/>
      <c r="AH54" s="414"/>
      <c r="AI54" s="414"/>
      <c r="AJ54" s="414"/>
      <c r="AK54" s="414"/>
      <c r="AL54" s="414"/>
      <c r="AM54" s="414">
        <v>8891944</v>
      </c>
      <c r="AN54" s="414"/>
      <c r="AO54" s="414"/>
      <c r="AP54" s="414"/>
      <c r="AQ54" s="414"/>
      <c r="AR54" s="414"/>
      <c r="AS54" s="414"/>
      <c r="AT54" s="414"/>
      <c r="AU54" s="414">
        <v>731</v>
      </c>
      <c r="AV54" s="414"/>
      <c r="AW54" s="414"/>
      <c r="AX54" s="414"/>
      <c r="AY54" s="414"/>
      <c r="AZ54" s="414"/>
      <c r="BA54" s="414"/>
      <c r="BB54" s="414"/>
      <c r="BC54" s="414">
        <v>12164</v>
      </c>
      <c r="BD54" s="414"/>
      <c r="BE54" s="414"/>
      <c r="BF54" s="414"/>
      <c r="BG54" s="414"/>
      <c r="BH54" s="414"/>
      <c r="BI54" s="414"/>
      <c r="BJ54" s="414"/>
    </row>
    <row r="55" spans="2:62" ht="13.5" customHeight="1">
      <c r="G55" s="380">
        <v>22</v>
      </c>
      <c r="H55" s="380"/>
      <c r="I55" s="380"/>
      <c r="N55" s="22"/>
      <c r="O55" s="414">
        <v>4280067</v>
      </c>
      <c r="P55" s="414"/>
      <c r="Q55" s="414"/>
      <c r="R55" s="414"/>
      <c r="S55" s="414"/>
      <c r="T55" s="414"/>
      <c r="U55" s="414"/>
      <c r="V55" s="414"/>
      <c r="W55" s="414">
        <v>445</v>
      </c>
      <c r="X55" s="414"/>
      <c r="Y55" s="414"/>
      <c r="Z55" s="414"/>
      <c r="AA55" s="414"/>
      <c r="AB55" s="414"/>
      <c r="AC55" s="414"/>
      <c r="AD55" s="414"/>
      <c r="AE55" s="414">
        <v>9618</v>
      </c>
      <c r="AF55" s="414"/>
      <c r="AG55" s="414"/>
      <c r="AH55" s="414"/>
      <c r="AI55" s="414"/>
      <c r="AJ55" s="414"/>
      <c r="AK55" s="414"/>
      <c r="AL55" s="414"/>
      <c r="AM55" s="414">
        <v>7587012</v>
      </c>
      <c r="AN55" s="414"/>
      <c r="AO55" s="414"/>
      <c r="AP55" s="414"/>
      <c r="AQ55" s="414"/>
      <c r="AR55" s="414"/>
      <c r="AS55" s="414"/>
      <c r="AT55" s="414"/>
      <c r="AU55" s="414">
        <v>741</v>
      </c>
      <c r="AV55" s="414"/>
      <c r="AW55" s="414"/>
      <c r="AX55" s="414"/>
      <c r="AY55" s="414"/>
      <c r="AZ55" s="414"/>
      <c r="BA55" s="414"/>
      <c r="BB55" s="414"/>
      <c r="BC55" s="414">
        <v>10239</v>
      </c>
      <c r="BD55" s="414"/>
      <c r="BE55" s="414"/>
      <c r="BF55" s="414"/>
      <c r="BG55" s="414"/>
      <c r="BH55" s="414"/>
      <c r="BI55" s="414"/>
      <c r="BJ55" s="414"/>
    </row>
    <row r="56" spans="2:62" ht="13.5" customHeight="1">
      <c r="G56" s="380">
        <v>23</v>
      </c>
      <c r="H56" s="380"/>
      <c r="I56" s="380"/>
      <c r="N56" s="22"/>
      <c r="O56" s="414">
        <v>4178933</v>
      </c>
      <c r="P56" s="414"/>
      <c r="Q56" s="414"/>
      <c r="R56" s="414"/>
      <c r="S56" s="414"/>
      <c r="T56" s="414"/>
      <c r="U56" s="414"/>
      <c r="V56" s="414"/>
      <c r="W56" s="414">
        <v>466</v>
      </c>
      <c r="X56" s="414"/>
      <c r="Y56" s="414"/>
      <c r="Z56" s="414"/>
      <c r="AA56" s="414"/>
      <c r="AB56" s="414"/>
      <c r="AC56" s="414"/>
      <c r="AD56" s="414"/>
      <c r="AE56" s="414">
        <v>8968</v>
      </c>
      <c r="AF56" s="414"/>
      <c r="AG56" s="414"/>
      <c r="AH56" s="414"/>
      <c r="AI56" s="414"/>
      <c r="AJ56" s="414"/>
      <c r="AK56" s="414"/>
      <c r="AL56" s="414"/>
      <c r="AM56" s="414">
        <v>7299403</v>
      </c>
      <c r="AN56" s="414"/>
      <c r="AO56" s="414"/>
      <c r="AP56" s="414"/>
      <c r="AQ56" s="414"/>
      <c r="AR56" s="414"/>
      <c r="AS56" s="414"/>
      <c r="AT56" s="414"/>
      <c r="AU56" s="414">
        <v>758</v>
      </c>
      <c r="AV56" s="414"/>
      <c r="AW56" s="414"/>
      <c r="AX56" s="414"/>
      <c r="AY56" s="414"/>
      <c r="AZ56" s="414"/>
      <c r="BA56" s="414"/>
      <c r="BB56" s="414"/>
      <c r="BC56" s="414">
        <v>9630</v>
      </c>
      <c r="BD56" s="414"/>
      <c r="BE56" s="414"/>
      <c r="BF56" s="414"/>
      <c r="BG56" s="414"/>
      <c r="BH56" s="414"/>
      <c r="BI56" s="414"/>
      <c r="BJ56" s="414"/>
    </row>
    <row r="57" spans="2:62" ht="13.5" customHeight="1">
      <c r="G57" s="392">
        <v>24</v>
      </c>
      <c r="H57" s="392"/>
      <c r="I57" s="392"/>
      <c r="N57" s="22"/>
      <c r="O57" s="405">
        <v>3751268</v>
      </c>
      <c r="P57" s="405"/>
      <c r="Q57" s="405"/>
      <c r="R57" s="405"/>
      <c r="S57" s="405"/>
      <c r="T57" s="405"/>
      <c r="U57" s="405"/>
      <c r="V57" s="405"/>
      <c r="W57" s="405">
        <v>420</v>
      </c>
      <c r="X57" s="405"/>
      <c r="Y57" s="405"/>
      <c r="Z57" s="405"/>
      <c r="AA57" s="405"/>
      <c r="AB57" s="405"/>
      <c r="AC57" s="405"/>
      <c r="AD57" s="405"/>
      <c r="AE57" s="405">
        <v>8932</v>
      </c>
      <c r="AF57" s="405"/>
      <c r="AG57" s="405"/>
      <c r="AH57" s="405"/>
      <c r="AI57" s="405"/>
      <c r="AJ57" s="405"/>
      <c r="AK57" s="405"/>
      <c r="AL57" s="405"/>
      <c r="AM57" s="405">
        <v>7354289</v>
      </c>
      <c r="AN57" s="405"/>
      <c r="AO57" s="405"/>
      <c r="AP57" s="405"/>
      <c r="AQ57" s="405"/>
      <c r="AR57" s="405"/>
      <c r="AS57" s="405"/>
      <c r="AT57" s="405"/>
      <c r="AU57" s="405">
        <v>706</v>
      </c>
      <c r="AV57" s="405"/>
      <c r="AW57" s="405"/>
      <c r="AX57" s="405"/>
      <c r="AY57" s="405"/>
      <c r="AZ57" s="405"/>
      <c r="BA57" s="405"/>
      <c r="BB57" s="405"/>
      <c r="BC57" s="405">
        <v>10417</v>
      </c>
      <c r="BD57" s="405"/>
      <c r="BE57" s="405"/>
      <c r="BF57" s="405"/>
      <c r="BG57" s="405"/>
      <c r="BH57" s="405"/>
      <c r="BI57" s="405"/>
      <c r="BJ57" s="405"/>
    </row>
    <row r="58" spans="2:62" ht="12.9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2:62" ht="13.5" customHeight="1">
      <c r="B59" s="411" t="s">
        <v>68</v>
      </c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 t="s">
        <v>80</v>
      </c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6"/>
      <c r="AA59" s="386"/>
      <c r="AB59" s="386"/>
      <c r="AC59" s="386"/>
      <c r="AD59" s="386"/>
      <c r="AE59" s="386"/>
      <c r="AF59" s="386"/>
      <c r="AG59" s="386"/>
      <c r="AH59" s="386"/>
      <c r="AI59" s="386"/>
      <c r="AJ59" s="386"/>
      <c r="AK59" s="386"/>
      <c r="AL59" s="386"/>
      <c r="AM59" s="386" t="s">
        <v>81</v>
      </c>
      <c r="AN59" s="386"/>
      <c r="AO59" s="386"/>
      <c r="AP59" s="386"/>
      <c r="AQ59" s="386"/>
      <c r="AR59" s="386"/>
      <c r="AS59" s="386"/>
      <c r="AT59" s="386"/>
      <c r="AU59" s="386"/>
      <c r="AV59" s="386"/>
      <c r="AW59" s="386"/>
      <c r="AX59" s="386"/>
      <c r="AY59" s="386"/>
      <c r="AZ59" s="386"/>
      <c r="BA59" s="386"/>
      <c r="BB59" s="386"/>
      <c r="BC59" s="386"/>
      <c r="BD59" s="386"/>
      <c r="BE59" s="386"/>
      <c r="BF59" s="386"/>
      <c r="BG59" s="386"/>
      <c r="BH59" s="386"/>
      <c r="BI59" s="386"/>
      <c r="BJ59" s="387"/>
    </row>
    <row r="60" spans="2:62">
      <c r="B60" s="412"/>
      <c r="C60" s="385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 t="s">
        <v>87</v>
      </c>
      <c r="P60" s="385"/>
      <c r="Q60" s="385"/>
      <c r="R60" s="385"/>
      <c r="S60" s="385"/>
      <c r="T60" s="385"/>
      <c r="U60" s="385"/>
      <c r="V60" s="385"/>
      <c r="W60" s="385" t="s">
        <v>88</v>
      </c>
      <c r="X60" s="385"/>
      <c r="Y60" s="385"/>
      <c r="Z60" s="385"/>
      <c r="AA60" s="385"/>
      <c r="AB60" s="385"/>
      <c r="AC60" s="385"/>
      <c r="AD60" s="385"/>
      <c r="AE60" s="385" t="s">
        <v>89</v>
      </c>
      <c r="AF60" s="385"/>
      <c r="AG60" s="385"/>
      <c r="AH60" s="385"/>
      <c r="AI60" s="385"/>
      <c r="AJ60" s="385"/>
      <c r="AK60" s="385"/>
      <c r="AL60" s="385"/>
      <c r="AM60" s="385" t="s">
        <v>87</v>
      </c>
      <c r="AN60" s="385"/>
      <c r="AO60" s="385"/>
      <c r="AP60" s="385"/>
      <c r="AQ60" s="385"/>
      <c r="AR60" s="385"/>
      <c r="AS60" s="385"/>
      <c r="AT60" s="385"/>
      <c r="AU60" s="385" t="s">
        <v>88</v>
      </c>
      <c r="AV60" s="385"/>
      <c r="AW60" s="385"/>
      <c r="AX60" s="385"/>
      <c r="AY60" s="385"/>
      <c r="AZ60" s="385"/>
      <c r="BA60" s="385"/>
      <c r="BB60" s="385"/>
      <c r="BC60" s="385" t="s">
        <v>89</v>
      </c>
      <c r="BD60" s="385"/>
      <c r="BE60" s="385"/>
      <c r="BF60" s="385"/>
      <c r="BG60" s="385"/>
      <c r="BH60" s="385"/>
      <c r="BI60" s="385"/>
      <c r="BJ60" s="388"/>
    </row>
    <row r="61" spans="2:62">
      <c r="N61" s="21"/>
      <c r="U61" s="417" t="s">
        <v>90</v>
      </c>
      <c r="V61" s="417"/>
      <c r="AK61" s="417" t="s">
        <v>90</v>
      </c>
      <c r="AL61" s="417"/>
      <c r="AS61" s="417" t="s">
        <v>90</v>
      </c>
      <c r="AT61" s="417"/>
      <c r="BI61" s="417" t="s">
        <v>90</v>
      </c>
      <c r="BJ61" s="417"/>
    </row>
    <row r="62" spans="2:62" ht="8.1" customHeight="1">
      <c r="N62" s="22"/>
    </row>
    <row r="63" spans="2:62">
      <c r="C63" s="389" t="s">
        <v>70</v>
      </c>
      <c r="D63" s="389"/>
      <c r="E63" s="389"/>
      <c r="F63" s="389"/>
      <c r="G63" s="380">
        <v>20</v>
      </c>
      <c r="H63" s="380"/>
      <c r="I63" s="380"/>
      <c r="J63" s="389" t="s">
        <v>68</v>
      </c>
      <c r="K63" s="389"/>
      <c r="L63" s="389"/>
      <c r="M63" s="389"/>
      <c r="N63" s="22"/>
      <c r="O63" s="402">
        <v>3499785</v>
      </c>
      <c r="P63" s="402"/>
      <c r="Q63" s="402"/>
      <c r="R63" s="402"/>
      <c r="S63" s="402"/>
      <c r="T63" s="402"/>
      <c r="U63" s="402"/>
      <c r="V63" s="402"/>
      <c r="W63" s="402">
        <v>789</v>
      </c>
      <c r="X63" s="402"/>
      <c r="Y63" s="402"/>
      <c r="Z63" s="402"/>
      <c r="AA63" s="402"/>
      <c r="AB63" s="402"/>
      <c r="AC63" s="402"/>
      <c r="AD63" s="402"/>
      <c r="AE63" s="402">
        <v>4436</v>
      </c>
      <c r="AF63" s="402"/>
      <c r="AG63" s="402"/>
      <c r="AH63" s="402"/>
      <c r="AI63" s="402"/>
      <c r="AJ63" s="402"/>
      <c r="AK63" s="402"/>
      <c r="AL63" s="402"/>
      <c r="AM63" s="402">
        <v>6342393</v>
      </c>
      <c r="AN63" s="402"/>
      <c r="AO63" s="402"/>
      <c r="AP63" s="402"/>
      <c r="AQ63" s="402"/>
      <c r="AR63" s="402"/>
      <c r="AS63" s="402"/>
      <c r="AT63" s="402"/>
      <c r="AU63" s="402">
        <v>512</v>
      </c>
      <c r="AV63" s="402"/>
      <c r="AW63" s="402"/>
      <c r="AX63" s="402"/>
      <c r="AY63" s="402"/>
      <c r="AZ63" s="402"/>
      <c r="BA63" s="402"/>
      <c r="BB63" s="402"/>
      <c r="BC63" s="402">
        <v>12387</v>
      </c>
      <c r="BD63" s="402"/>
      <c r="BE63" s="402"/>
      <c r="BF63" s="402"/>
      <c r="BG63" s="402"/>
      <c r="BH63" s="402"/>
      <c r="BI63" s="402"/>
      <c r="BJ63" s="402"/>
    </row>
    <row r="64" spans="2:62">
      <c r="G64" s="380">
        <v>21</v>
      </c>
      <c r="H64" s="380"/>
      <c r="I64" s="380"/>
      <c r="N64" s="22"/>
      <c r="O64" s="414">
        <v>4296688</v>
      </c>
      <c r="P64" s="414"/>
      <c r="Q64" s="414"/>
      <c r="R64" s="414"/>
      <c r="S64" s="414"/>
      <c r="T64" s="414"/>
      <c r="U64" s="414"/>
      <c r="V64" s="414"/>
      <c r="W64" s="414">
        <v>803</v>
      </c>
      <c r="X64" s="414"/>
      <c r="Y64" s="414"/>
      <c r="Z64" s="414"/>
      <c r="AA64" s="414"/>
      <c r="AB64" s="414"/>
      <c r="AC64" s="414"/>
      <c r="AD64" s="414"/>
      <c r="AE64" s="414">
        <v>5351</v>
      </c>
      <c r="AF64" s="414"/>
      <c r="AG64" s="414"/>
      <c r="AH64" s="414"/>
      <c r="AI64" s="414"/>
      <c r="AJ64" s="414"/>
      <c r="AK64" s="414"/>
      <c r="AL64" s="414"/>
      <c r="AM64" s="414">
        <v>6748270</v>
      </c>
      <c r="AN64" s="414"/>
      <c r="AO64" s="414"/>
      <c r="AP64" s="414"/>
      <c r="AQ64" s="414"/>
      <c r="AR64" s="414"/>
      <c r="AS64" s="414"/>
      <c r="AT64" s="414"/>
      <c r="AU64" s="414">
        <v>571</v>
      </c>
      <c r="AV64" s="414"/>
      <c r="AW64" s="414"/>
      <c r="AX64" s="414"/>
      <c r="AY64" s="414"/>
      <c r="AZ64" s="414"/>
      <c r="BA64" s="414"/>
      <c r="BB64" s="414"/>
      <c r="BC64" s="414">
        <v>11818</v>
      </c>
      <c r="BD64" s="414"/>
      <c r="BE64" s="414"/>
      <c r="BF64" s="414"/>
      <c r="BG64" s="414"/>
      <c r="BH64" s="414"/>
      <c r="BI64" s="414"/>
      <c r="BJ64" s="414"/>
    </row>
    <row r="65" spans="2:62">
      <c r="G65" s="380">
        <v>22</v>
      </c>
      <c r="H65" s="380"/>
      <c r="I65" s="380"/>
      <c r="N65" s="22"/>
      <c r="O65" s="414">
        <v>4110015</v>
      </c>
      <c r="P65" s="414"/>
      <c r="Q65" s="414"/>
      <c r="R65" s="414"/>
      <c r="S65" s="414"/>
      <c r="T65" s="414"/>
      <c r="U65" s="414"/>
      <c r="V65" s="414"/>
      <c r="W65" s="414">
        <v>794</v>
      </c>
      <c r="X65" s="414"/>
      <c r="Y65" s="414"/>
      <c r="Z65" s="414"/>
      <c r="AA65" s="414"/>
      <c r="AB65" s="414"/>
      <c r="AC65" s="414"/>
      <c r="AD65" s="414"/>
      <c r="AE65" s="414">
        <v>5176</v>
      </c>
      <c r="AF65" s="414"/>
      <c r="AG65" s="414"/>
      <c r="AH65" s="414"/>
      <c r="AI65" s="414"/>
      <c r="AJ65" s="414"/>
      <c r="AK65" s="414"/>
      <c r="AL65" s="414"/>
      <c r="AM65" s="414">
        <v>6333490</v>
      </c>
      <c r="AN65" s="414"/>
      <c r="AO65" s="414"/>
      <c r="AP65" s="414"/>
      <c r="AQ65" s="414"/>
      <c r="AR65" s="414"/>
      <c r="AS65" s="414"/>
      <c r="AT65" s="414"/>
      <c r="AU65" s="414">
        <v>531</v>
      </c>
      <c r="AV65" s="414"/>
      <c r="AW65" s="414"/>
      <c r="AX65" s="414"/>
      <c r="AY65" s="414"/>
      <c r="AZ65" s="414"/>
      <c r="BA65" s="414"/>
      <c r="BB65" s="414"/>
      <c r="BC65" s="414">
        <v>11927</v>
      </c>
      <c r="BD65" s="414"/>
      <c r="BE65" s="414"/>
      <c r="BF65" s="414"/>
      <c r="BG65" s="414"/>
      <c r="BH65" s="414"/>
      <c r="BI65" s="414"/>
      <c r="BJ65" s="414"/>
    </row>
    <row r="66" spans="2:62">
      <c r="G66" s="380">
        <v>23</v>
      </c>
      <c r="H66" s="380"/>
      <c r="I66" s="380"/>
      <c r="N66" s="22"/>
      <c r="O66" s="414">
        <v>3928310</v>
      </c>
      <c r="P66" s="414"/>
      <c r="Q66" s="414"/>
      <c r="R66" s="414"/>
      <c r="S66" s="414"/>
      <c r="T66" s="414"/>
      <c r="U66" s="414"/>
      <c r="V66" s="414"/>
      <c r="W66" s="414">
        <v>787</v>
      </c>
      <c r="X66" s="414"/>
      <c r="Y66" s="414"/>
      <c r="Z66" s="414"/>
      <c r="AA66" s="414"/>
      <c r="AB66" s="414"/>
      <c r="AC66" s="414"/>
      <c r="AD66" s="414"/>
      <c r="AE66" s="414">
        <v>4991</v>
      </c>
      <c r="AF66" s="414"/>
      <c r="AG66" s="414"/>
      <c r="AH66" s="414"/>
      <c r="AI66" s="414"/>
      <c r="AJ66" s="414"/>
      <c r="AK66" s="414"/>
      <c r="AL66" s="414"/>
      <c r="AM66" s="414">
        <v>6010766</v>
      </c>
      <c r="AN66" s="414"/>
      <c r="AO66" s="414"/>
      <c r="AP66" s="414"/>
      <c r="AQ66" s="414"/>
      <c r="AR66" s="414"/>
      <c r="AS66" s="414"/>
      <c r="AT66" s="414"/>
      <c r="AU66" s="414">
        <v>621</v>
      </c>
      <c r="AV66" s="414"/>
      <c r="AW66" s="414"/>
      <c r="AX66" s="414"/>
      <c r="AY66" s="414"/>
      <c r="AZ66" s="414"/>
      <c r="BA66" s="414"/>
      <c r="BB66" s="414"/>
      <c r="BC66" s="414">
        <v>9679</v>
      </c>
      <c r="BD66" s="414"/>
      <c r="BE66" s="414"/>
      <c r="BF66" s="414"/>
      <c r="BG66" s="414"/>
      <c r="BH66" s="414"/>
      <c r="BI66" s="414"/>
      <c r="BJ66" s="414"/>
    </row>
    <row r="67" spans="2:62">
      <c r="G67" s="392">
        <v>24</v>
      </c>
      <c r="H67" s="392"/>
      <c r="I67" s="392"/>
      <c r="N67" s="22"/>
      <c r="O67" s="405">
        <v>3765305</v>
      </c>
      <c r="P67" s="405"/>
      <c r="Q67" s="405"/>
      <c r="R67" s="405"/>
      <c r="S67" s="405"/>
      <c r="T67" s="405"/>
      <c r="U67" s="405"/>
      <c r="V67" s="405"/>
      <c r="W67" s="405">
        <v>768</v>
      </c>
      <c r="X67" s="405"/>
      <c r="Y67" s="405"/>
      <c r="Z67" s="405"/>
      <c r="AA67" s="405"/>
      <c r="AB67" s="405"/>
      <c r="AC67" s="405"/>
      <c r="AD67" s="405"/>
      <c r="AE67" s="405">
        <v>4903</v>
      </c>
      <c r="AF67" s="405"/>
      <c r="AG67" s="405"/>
      <c r="AH67" s="405"/>
      <c r="AI67" s="405"/>
      <c r="AJ67" s="405"/>
      <c r="AK67" s="405"/>
      <c r="AL67" s="405"/>
      <c r="AM67" s="405">
        <v>5732610</v>
      </c>
      <c r="AN67" s="405"/>
      <c r="AO67" s="405"/>
      <c r="AP67" s="405"/>
      <c r="AQ67" s="405"/>
      <c r="AR67" s="405"/>
      <c r="AS67" s="405"/>
      <c r="AT67" s="405"/>
      <c r="AU67" s="405">
        <v>550</v>
      </c>
      <c r="AV67" s="405"/>
      <c r="AW67" s="405"/>
      <c r="AX67" s="405"/>
      <c r="AY67" s="405"/>
      <c r="AZ67" s="405"/>
      <c r="BA67" s="405"/>
      <c r="BB67" s="405"/>
      <c r="BC67" s="405">
        <v>10423</v>
      </c>
      <c r="BD67" s="405"/>
      <c r="BE67" s="405"/>
      <c r="BF67" s="405"/>
      <c r="BG67" s="405"/>
      <c r="BH67" s="405"/>
      <c r="BI67" s="405"/>
      <c r="BJ67" s="405"/>
    </row>
    <row r="68" spans="2:62" ht="8.1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</row>
    <row r="69" spans="2:62">
      <c r="B69" s="410" t="s">
        <v>72</v>
      </c>
      <c r="C69" s="410"/>
      <c r="D69" s="410"/>
      <c r="E69" s="33" t="s">
        <v>73</v>
      </c>
      <c r="F69" s="2" t="s">
        <v>85</v>
      </c>
    </row>
    <row r="71" spans="2:62" ht="12.75" customHeight="1"/>
  </sheetData>
  <mergeCells count="265">
    <mergeCell ref="C25:F25"/>
    <mergeCell ref="G25:I25"/>
    <mergeCell ref="J25:M25"/>
    <mergeCell ref="O25:Z25"/>
    <mergeCell ref="AA25:AL25"/>
    <mergeCell ref="B18:BJ18"/>
    <mergeCell ref="B20:N23"/>
    <mergeCell ref="O20:AX20"/>
    <mergeCell ref="O21:Z21"/>
    <mergeCell ref="AA21:AL21"/>
    <mergeCell ref="AM21:AX23"/>
    <mergeCell ref="AY21:BJ21"/>
    <mergeCell ref="O22:Z22"/>
    <mergeCell ref="AA22:AL22"/>
    <mergeCell ref="AY22:BJ22"/>
    <mergeCell ref="AM25:AX25"/>
    <mergeCell ref="AY25:BJ25"/>
    <mergeCell ref="G26:I26"/>
    <mergeCell ref="O26:Z26"/>
    <mergeCell ref="AA26:AL26"/>
    <mergeCell ref="AM26:AX26"/>
    <mergeCell ref="AY26:BJ26"/>
    <mergeCell ref="O23:Z23"/>
    <mergeCell ref="AA23:AL23"/>
    <mergeCell ref="G29:I29"/>
    <mergeCell ref="O29:Z29"/>
    <mergeCell ref="AA29:AL29"/>
    <mergeCell ref="AM29:AX29"/>
    <mergeCell ref="AY29:BJ29"/>
    <mergeCell ref="B31:D31"/>
    <mergeCell ref="G27:I27"/>
    <mergeCell ref="O27:Z27"/>
    <mergeCell ref="AA27:AL27"/>
    <mergeCell ref="AM27:AX27"/>
    <mergeCell ref="AY27:BJ27"/>
    <mergeCell ref="G28:I28"/>
    <mergeCell ref="O28:Z28"/>
    <mergeCell ref="AA28:AL28"/>
    <mergeCell ref="AM28:AX28"/>
    <mergeCell ref="AY28:BJ28"/>
    <mergeCell ref="B33:BJ33"/>
    <mergeCell ref="B34:BJ34"/>
    <mergeCell ref="B36:N37"/>
    <mergeCell ref="O36:Z36"/>
    <mergeCell ref="AA36:AL36"/>
    <mergeCell ref="AM36:AX36"/>
    <mergeCell ref="AY36:BJ36"/>
    <mergeCell ref="O37:R37"/>
    <mergeCell ref="S37:V37"/>
    <mergeCell ref="W37:Z37"/>
    <mergeCell ref="AY37:BB37"/>
    <mergeCell ref="BC37:BF37"/>
    <mergeCell ref="BG37:BJ37"/>
    <mergeCell ref="AI37:AL37"/>
    <mergeCell ref="AM37:AP37"/>
    <mergeCell ref="AQ37:AT37"/>
    <mergeCell ref="AU37:AX37"/>
    <mergeCell ref="C39:F39"/>
    <mergeCell ref="G39:I39"/>
    <mergeCell ref="J39:M39"/>
    <mergeCell ref="O39:R39"/>
    <mergeCell ref="S39:V39"/>
    <mergeCell ref="W39:Z39"/>
    <mergeCell ref="AA39:AD39"/>
    <mergeCell ref="AA37:AD37"/>
    <mergeCell ref="AE37:AH37"/>
    <mergeCell ref="BG39:BJ39"/>
    <mergeCell ref="G40:I40"/>
    <mergeCell ref="O40:R40"/>
    <mergeCell ref="S40:V40"/>
    <mergeCell ref="W40:Z40"/>
    <mergeCell ref="AA40:AD40"/>
    <mergeCell ref="AE40:AH40"/>
    <mergeCell ref="AI40:AL40"/>
    <mergeCell ref="AM40:AP40"/>
    <mergeCell ref="AE39:AH39"/>
    <mergeCell ref="AI39:AL39"/>
    <mergeCell ref="AM39:AP39"/>
    <mergeCell ref="AQ39:AT39"/>
    <mergeCell ref="AU39:AX39"/>
    <mergeCell ref="AY39:BB39"/>
    <mergeCell ref="AQ40:AT40"/>
    <mergeCell ref="AU40:AX40"/>
    <mergeCell ref="AY40:BB40"/>
    <mergeCell ref="BC40:BF40"/>
    <mergeCell ref="BG40:BJ40"/>
    <mergeCell ref="G41:I41"/>
    <mergeCell ref="O41:R41"/>
    <mergeCell ref="S41:V41"/>
    <mergeCell ref="W41:Z41"/>
    <mergeCell ref="AA41:AD41"/>
    <mergeCell ref="BC41:BF41"/>
    <mergeCell ref="BG41:BJ41"/>
    <mergeCell ref="G42:I42"/>
    <mergeCell ref="O42:R42"/>
    <mergeCell ref="S42:V42"/>
    <mergeCell ref="W42:Z42"/>
    <mergeCell ref="AA42:AD42"/>
    <mergeCell ref="AE42:AH42"/>
    <mergeCell ref="AI42:AL42"/>
    <mergeCell ref="AM42:AP42"/>
    <mergeCell ref="AE41:AH41"/>
    <mergeCell ref="AI41:AL41"/>
    <mergeCell ref="AM41:AP41"/>
    <mergeCell ref="AQ41:AT41"/>
    <mergeCell ref="AU41:AX41"/>
    <mergeCell ref="AY41:BB41"/>
    <mergeCell ref="AQ42:AT42"/>
    <mergeCell ref="AU42:AX42"/>
    <mergeCell ref="AY42:BB42"/>
    <mergeCell ref="B45:D45"/>
    <mergeCell ref="B47:BJ47"/>
    <mergeCell ref="B49:N50"/>
    <mergeCell ref="O49:AL49"/>
    <mergeCell ref="AM49:BJ49"/>
    <mergeCell ref="O50:V50"/>
    <mergeCell ref="W50:AD50"/>
    <mergeCell ref="AE50:AL50"/>
    <mergeCell ref="AE43:AH43"/>
    <mergeCell ref="AI43:AL43"/>
    <mergeCell ref="AM43:AP43"/>
    <mergeCell ref="AQ43:AT43"/>
    <mergeCell ref="AU43:AX43"/>
    <mergeCell ref="AY43:BB43"/>
    <mergeCell ref="G43:I43"/>
    <mergeCell ref="O43:R43"/>
    <mergeCell ref="S43:V43"/>
    <mergeCell ref="W43:Z43"/>
    <mergeCell ref="AA43:AD43"/>
    <mergeCell ref="BC43:BF43"/>
    <mergeCell ref="BG43:BJ43"/>
    <mergeCell ref="C53:F53"/>
    <mergeCell ref="G53:I53"/>
    <mergeCell ref="J53:M53"/>
    <mergeCell ref="O53:V53"/>
    <mergeCell ref="W53:AD53"/>
    <mergeCell ref="AE53:AL53"/>
    <mergeCell ref="AM50:AT50"/>
    <mergeCell ref="AU50:BB50"/>
    <mergeCell ref="BC50:BJ50"/>
    <mergeCell ref="U51:V51"/>
    <mergeCell ref="AK51:AL51"/>
    <mergeCell ref="AS51:AT51"/>
    <mergeCell ref="BI51:BJ51"/>
    <mergeCell ref="AM53:AT53"/>
    <mergeCell ref="AU53:BB53"/>
    <mergeCell ref="BC53:BJ53"/>
    <mergeCell ref="G57:I57"/>
    <mergeCell ref="O57:V57"/>
    <mergeCell ref="W57:AD57"/>
    <mergeCell ref="AE57:AL57"/>
    <mergeCell ref="AM57:AT57"/>
    <mergeCell ref="AU57:BB57"/>
    <mergeCell ref="G54:I54"/>
    <mergeCell ref="O54:V54"/>
    <mergeCell ref="W54:AD54"/>
    <mergeCell ref="AE54:AL54"/>
    <mergeCell ref="AM54:AT54"/>
    <mergeCell ref="AU54:BB54"/>
    <mergeCell ref="G56:I56"/>
    <mergeCell ref="O56:V56"/>
    <mergeCell ref="W56:AD56"/>
    <mergeCell ref="AE56:AL56"/>
    <mergeCell ref="AM56:AT56"/>
    <mergeCell ref="AU56:BB56"/>
    <mergeCell ref="G55:I55"/>
    <mergeCell ref="O55:V55"/>
    <mergeCell ref="W55:AD55"/>
    <mergeCell ref="AE55:AL55"/>
    <mergeCell ref="AM55:AT55"/>
    <mergeCell ref="AU55:BB55"/>
    <mergeCell ref="B59:N60"/>
    <mergeCell ref="O59:AL59"/>
    <mergeCell ref="AM59:BJ59"/>
    <mergeCell ref="O60:V60"/>
    <mergeCell ref="W60:AD60"/>
    <mergeCell ref="AE60:AL60"/>
    <mergeCell ref="AM60:AT60"/>
    <mergeCell ref="AU60:BB60"/>
    <mergeCell ref="BC60:BJ60"/>
    <mergeCell ref="C63:F63"/>
    <mergeCell ref="G63:I63"/>
    <mergeCell ref="J63:M63"/>
    <mergeCell ref="O63:V63"/>
    <mergeCell ref="W63:AD63"/>
    <mergeCell ref="AE63:AL63"/>
    <mergeCell ref="AM63:AT63"/>
    <mergeCell ref="AU63:BB63"/>
    <mergeCell ref="BC63:BJ63"/>
    <mergeCell ref="G64:I64"/>
    <mergeCell ref="O64:V64"/>
    <mergeCell ref="W64:AD64"/>
    <mergeCell ref="AE64:AL64"/>
    <mergeCell ref="AM64:AT64"/>
    <mergeCell ref="AU64:BB64"/>
    <mergeCell ref="BC64:BJ64"/>
    <mergeCell ref="BC67:BJ67"/>
    <mergeCell ref="B69:D69"/>
    <mergeCell ref="G67:I67"/>
    <mergeCell ref="O67:V67"/>
    <mergeCell ref="W67:AD67"/>
    <mergeCell ref="AE67:AL67"/>
    <mergeCell ref="AM67:AT67"/>
    <mergeCell ref="AU67:BB67"/>
    <mergeCell ref="BC65:BJ65"/>
    <mergeCell ref="G66:I66"/>
    <mergeCell ref="O66:V66"/>
    <mergeCell ref="W66:AD66"/>
    <mergeCell ref="AE66:AL66"/>
    <mergeCell ref="AM66:AT66"/>
    <mergeCell ref="AU66:BB66"/>
    <mergeCell ref="BC66:BJ66"/>
    <mergeCell ref="G65:I65"/>
    <mergeCell ref="O65:V65"/>
    <mergeCell ref="W65:AD65"/>
    <mergeCell ref="AE65:AL65"/>
    <mergeCell ref="AM65:AT65"/>
    <mergeCell ref="AU65:BB65"/>
    <mergeCell ref="AY10:BJ10"/>
    <mergeCell ref="O11:Z11"/>
    <mergeCell ref="AA11:AL11"/>
    <mergeCell ref="AM11:AX11"/>
    <mergeCell ref="AY11:BJ11"/>
    <mergeCell ref="O10:Z10"/>
    <mergeCell ref="AA10:AL10"/>
    <mergeCell ref="AM10:AX10"/>
    <mergeCell ref="U61:V61"/>
    <mergeCell ref="AK61:AL61"/>
    <mergeCell ref="AS61:AT61"/>
    <mergeCell ref="BI61:BJ61"/>
    <mergeCell ref="BC57:BJ57"/>
    <mergeCell ref="BC54:BJ54"/>
    <mergeCell ref="BC55:BJ55"/>
    <mergeCell ref="BC56:BJ56"/>
    <mergeCell ref="BC42:BF42"/>
    <mergeCell ref="BG42:BJ42"/>
    <mergeCell ref="BC39:BF39"/>
    <mergeCell ref="B16:D16"/>
    <mergeCell ref="O12:Z12"/>
    <mergeCell ref="AA12:AL12"/>
    <mergeCell ref="AM12:AX12"/>
    <mergeCell ref="AY12:BJ12"/>
    <mergeCell ref="O13:Z13"/>
    <mergeCell ref="AA13:AL13"/>
    <mergeCell ref="AM13:AX13"/>
    <mergeCell ref="AY13:BJ13"/>
    <mergeCell ref="AA14:AL14"/>
    <mergeCell ref="AM14:AX14"/>
    <mergeCell ref="AY14:BJ14"/>
    <mergeCell ref="A1:S2"/>
    <mergeCell ref="G13:I13"/>
    <mergeCell ref="G14:I14"/>
    <mergeCell ref="B7:N8"/>
    <mergeCell ref="C10:F10"/>
    <mergeCell ref="J10:M10"/>
    <mergeCell ref="G10:I10"/>
    <mergeCell ref="G11:I11"/>
    <mergeCell ref="G12:I12"/>
    <mergeCell ref="O14:Z14"/>
    <mergeCell ref="B5:BJ5"/>
    <mergeCell ref="O7:Z8"/>
    <mergeCell ref="AA7:BJ7"/>
    <mergeCell ref="AA8:AL8"/>
    <mergeCell ref="AM8:AX8"/>
    <mergeCell ref="AY8:BJ8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K52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1:63" ht="11.1" customHeight="1">
      <c r="A1" s="24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369">
        <f>'188'!A1+1</f>
        <v>189</v>
      </c>
      <c r="AT1" s="369"/>
      <c r="AU1" s="369"/>
      <c r="AV1" s="369"/>
      <c r="AW1" s="369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</row>
    <row r="2" spans="1:63" ht="11.1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</row>
    <row r="3" spans="1:63" ht="11.1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</row>
    <row r="4" spans="1:63" ht="11.1" customHeight="1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</row>
    <row r="5" spans="1:63" ht="12.75" customHeight="1">
      <c r="B5" s="380" t="s">
        <v>91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</row>
    <row r="6" spans="1:63" ht="13.5" customHeight="1">
      <c r="BJ6" s="20" t="s">
        <v>76</v>
      </c>
    </row>
    <row r="7" spans="1:63" ht="13.5" customHeight="1">
      <c r="B7" s="411" t="s">
        <v>435</v>
      </c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 t="s">
        <v>79</v>
      </c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386" t="s">
        <v>92</v>
      </c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386" t="s">
        <v>80</v>
      </c>
      <c r="AN7" s="492"/>
      <c r="AO7" s="492"/>
      <c r="AP7" s="492"/>
      <c r="AQ7" s="492"/>
      <c r="AR7" s="492"/>
      <c r="AS7" s="492"/>
      <c r="AT7" s="492"/>
      <c r="AU7" s="492"/>
      <c r="AV7" s="492"/>
      <c r="AW7" s="492"/>
      <c r="AX7" s="492"/>
      <c r="AY7" s="386" t="s">
        <v>81</v>
      </c>
      <c r="AZ7" s="492"/>
      <c r="BA7" s="492"/>
      <c r="BB7" s="492"/>
      <c r="BC7" s="492"/>
      <c r="BD7" s="492"/>
      <c r="BE7" s="492"/>
      <c r="BF7" s="492"/>
      <c r="BG7" s="492"/>
      <c r="BH7" s="492"/>
      <c r="BI7" s="492"/>
      <c r="BJ7" s="493"/>
    </row>
    <row r="8" spans="1:63" ht="13.5" customHeight="1">
      <c r="B8" s="412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470" t="s">
        <v>82</v>
      </c>
      <c r="P8" s="494"/>
      <c r="Q8" s="494"/>
      <c r="R8" s="494"/>
      <c r="S8" s="470" t="s">
        <v>83</v>
      </c>
      <c r="T8" s="494"/>
      <c r="U8" s="494"/>
      <c r="V8" s="494"/>
      <c r="W8" s="470" t="s">
        <v>84</v>
      </c>
      <c r="X8" s="494"/>
      <c r="Y8" s="494"/>
      <c r="Z8" s="494"/>
      <c r="AA8" s="470" t="s">
        <v>82</v>
      </c>
      <c r="AB8" s="494"/>
      <c r="AC8" s="494"/>
      <c r="AD8" s="494"/>
      <c r="AE8" s="470" t="s">
        <v>83</v>
      </c>
      <c r="AF8" s="494"/>
      <c r="AG8" s="494"/>
      <c r="AH8" s="494"/>
      <c r="AI8" s="470" t="s">
        <v>84</v>
      </c>
      <c r="AJ8" s="494"/>
      <c r="AK8" s="494"/>
      <c r="AL8" s="494"/>
      <c r="AM8" s="470" t="s">
        <v>82</v>
      </c>
      <c r="AN8" s="494"/>
      <c r="AO8" s="494"/>
      <c r="AP8" s="494"/>
      <c r="AQ8" s="470" t="s">
        <v>83</v>
      </c>
      <c r="AR8" s="494"/>
      <c r="AS8" s="494"/>
      <c r="AT8" s="494"/>
      <c r="AU8" s="470" t="s">
        <v>84</v>
      </c>
      <c r="AV8" s="494"/>
      <c r="AW8" s="494"/>
      <c r="AX8" s="494"/>
      <c r="AY8" s="470" t="s">
        <v>82</v>
      </c>
      <c r="AZ8" s="494"/>
      <c r="BA8" s="494"/>
      <c r="BB8" s="494"/>
      <c r="BC8" s="470" t="s">
        <v>83</v>
      </c>
      <c r="BD8" s="494"/>
      <c r="BE8" s="494"/>
      <c r="BF8" s="494"/>
      <c r="BG8" s="470" t="s">
        <v>84</v>
      </c>
      <c r="BH8" s="494"/>
      <c r="BI8" s="494"/>
      <c r="BJ8" s="495"/>
    </row>
    <row r="9" spans="1:63" ht="13.5" customHeight="1">
      <c r="N9" s="21"/>
    </row>
    <row r="10" spans="1:63" ht="13.5" customHeight="1">
      <c r="C10" s="389" t="s">
        <v>70</v>
      </c>
      <c r="D10" s="389"/>
      <c r="E10" s="389"/>
      <c r="F10" s="389"/>
      <c r="G10" s="380">
        <v>21</v>
      </c>
      <c r="H10" s="380"/>
      <c r="I10" s="380"/>
      <c r="J10" s="389" t="s">
        <v>435</v>
      </c>
      <c r="K10" s="389"/>
      <c r="L10" s="389"/>
      <c r="M10" s="389"/>
      <c r="N10" s="22"/>
      <c r="O10" s="414">
        <v>2</v>
      </c>
      <c r="P10" s="414"/>
      <c r="Q10" s="414"/>
      <c r="R10" s="414"/>
      <c r="S10" s="414">
        <v>2</v>
      </c>
      <c r="T10" s="414"/>
      <c r="U10" s="414"/>
      <c r="V10" s="414"/>
      <c r="W10" s="414">
        <v>0</v>
      </c>
      <c r="X10" s="414"/>
      <c r="Y10" s="414"/>
      <c r="Z10" s="414"/>
      <c r="AA10" s="414">
        <v>13</v>
      </c>
      <c r="AB10" s="414"/>
      <c r="AC10" s="414"/>
      <c r="AD10" s="414"/>
      <c r="AE10" s="414">
        <v>6</v>
      </c>
      <c r="AF10" s="414"/>
      <c r="AG10" s="414"/>
      <c r="AH10" s="414"/>
      <c r="AI10" s="414">
        <v>7</v>
      </c>
      <c r="AJ10" s="414"/>
      <c r="AK10" s="414"/>
      <c r="AL10" s="414"/>
      <c r="AM10" s="414">
        <v>0</v>
      </c>
      <c r="AN10" s="414"/>
      <c r="AO10" s="414"/>
      <c r="AP10" s="414"/>
      <c r="AQ10" s="414">
        <v>0</v>
      </c>
      <c r="AR10" s="414"/>
      <c r="AS10" s="414"/>
      <c r="AT10" s="414"/>
      <c r="AU10" s="414">
        <v>0</v>
      </c>
      <c r="AV10" s="414"/>
      <c r="AW10" s="414"/>
      <c r="AX10" s="414"/>
      <c r="AY10" s="414">
        <v>0</v>
      </c>
      <c r="AZ10" s="414"/>
      <c r="BA10" s="414"/>
      <c r="BB10" s="414"/>
      <c r="BC10" s="414">
        <v>0</v>
      </c>
      <c r="BD10" s="414"/>
      <c r="BE10" s="414"/>
      <c r="BF10" s="414"/>
      <c r="BG10" s="414">
        <v>0</v>
      </c>
      <c r="BH10" s="414"/>
      <c r="BI10" s="414"/>
      <c r="BJ10" s="414"/>
    </row>
    <row r="11" spans="1:63" ht="13.5" customHeight="1">
      <c r="G11" s="380">
        <v>22</v>
      </c>
      <c r="H11" s="380"/>
      <c r="I11" s="380"/>
      <c r="N11" s="22"/>
      <c r="O11" s="414">
        <v>5</v>
      </c>
      <c r="P11" s="414"/>
      <c r="Q11" s="414"/>
      <c r="R11" s="414"/>
      <c r="S11" s="414">
        <v>3</v>
      </c>
      <c r="T11" s="414"/>
      <c r="U11" s="414"/>
      <c r="V11" s="414"/>
      <c r="W11" s="414">
        <v>2</v>
      </c>
      <c r="X11" s="414"/>
      <c r="Y11" s="414"/>
      <c r="Z11" s="414"/>
      <c r="AA11" s="414">
        <v>18</v>
      </c>
      <c r="AB11" s="414"/>
      <c r="AC11" s="414"/>
      <c r="AD11" s="414"/>
      <c r="AE11" s="414">
        <v>10</v>
      </c>
      <c r="AF11" s="414"/>
      <c r="AG11" s="414"/>
      <c r="AH11" s="414"/>
      <c r="AI11" s="414">
        <v>8</v>
      </c>
      <c r="AJ11" s="414"/>
      <c r="AK11" s="414"/>
      <c r="AL11" s="414"/>
      <c r="AM11" s="414">
        <v>0</v>
      </c>
      <c r="AN11" s="414"/>
      <c r="AO11" s="414"/>
      <c r="AP11" s="414"/>
      <c r="AQ11" s="414">
        <v>0</v>
      </c>
      <c r="AR11" s="414"/>
      <c r="AS11" s="414"/>
      <c r="AT11" s="414"/>
      <c r="AU11" s="414">
        <v>0</v>
      </c>
      <c r="AV11" s="414"/>
      <c r="AW11" s="414"/>
      <c r="AX11" s="414"/>
      <c r="AY11" s="414">
        <v>0</v>
      </c>
      <c r="AZ11" s="414"/>
      <c r="BA11" s="414"/>
      <c r="BB11" s="414"/>
      <c r="BC11" s="414">
        <v>0</v>
      </c>
      <c r="BD11" s="414"/>
      <c r="BE11" s="414"/>
      <c r="BF11" s="414"/>
      <c r="BG11" s="414">
        <v>0</v>
      </c>
      <c r="BH11" s="414"/>
      <c r="BI11" s="414"/>
      <c r="BJ11" s="414"/>
    </row>
    <row r="12" spans="1:63" ht="13.5" customHeight="1">
      <c r="G12" s="380">
        <v>23</v>
      </c>
      <c r="H12" s="380"/>
      <c r="I12" s="380"/>
      <c r="N12" s="22"/>
      <c r="O12" s="414">
        <v>8</v>
      </c>
      <c r="P12" s="414"/>
      <c r="Q12" s="414"/>
      <c r="R12" s="414"/>
      <c r="S12" s="414">
        <v>4</v>
      </c>
      <c r="T12" s="414"/>
      <c r="U12" s="414"/>
      <c r="V12" s="414"/>
      <c r="W12" s="414">
        <v>4</v>
      </c>
      <c r="X12" s="414"/>
      <c r="Y12" s="414"/>
      <c r="Z12" s="414"/>
      <c r="AA12" s="414">
        <v>18</v>
      </c>
      <c r="AB12" s="414"/>
      <c r="AC12" s="414"/>
      <c r="AD12" s="414"/>
      <c r="AE12" s="414">
        <v>10</v>
      </c>
      <c r="AF12" s="414"/>
      <c r="AG12" s="414"/>
      <c r="AH12" s="414"/>
      <c r="AI12" s="414">
        <v>8</v>
      </c>
      <c r="AJ12" s="414"/>
      <c r="AK12" s="414"/>
      <c r="AL12" s="414"/>
      <c r="AM12" s="414">
        <v>0</v>
      </c>
      <c r="AN12" s="414"/>
      <c r="AO12" s="414"/>
      <c r="AP12" s="414"/>
      <c r="AQ12" s="414">
        <v>0</v>
      </c>
      <c r="AR12" s="414"/>
      <c r="AS12" s="414"/>
      <c r="AT12" s="414"/>
      <c r="AU12" s="414">
        <v>0</v>
      </c>
      <c r="AV12" s="414"/>
      <c r="AW12" s="414"/>
      <c r="AX12" s="414"/>
      <c r="AY12" s="414">
        <v>0</v>
      </c>
      <c r="AZ12" s="414"/>
      <c r="BA12" s="414"/>
      <c r="BB12" s="414"/>
      <c r="BC12" s="414">
        <v>0</v>
      </c>
      <c r="BD12" s="414"/>
      <c r="BE12" s="414"/>
      <c r="BF12" s="414"/>
      <c r="BG12" s="414">
        <v>0</v>
      </c>
      <c r="BH12" s="414"/>
      <c r="BI12" s="414"/>
      <c r="BJ12" s="414"/>
    </row>
    <row r="13" spans="1:63" ht="13.5" customHeight="1">
      <c r="G13" s="380">
        <v>24</v>
      </c>
      <c r="H13" s="380"/>
      <c r="I13" s="380"/>
      <c r="J13" s="274"/>
      <c r="K13" s="274"/>
      <c r="L13" s="274"/>
      <c r="M13" s="274"/>
      <c r="N13" s="275"/>
      <c r="O13" s="414">
        <v>4</v>
      </c>
      <c r="P13" s="414"/>
      <c r="Q13" s="414"/>
      <c r="R13" s="414"/>
      <c r="S13" s="414">
        <v>1</v>
      </c>
      <c r="T13" s="414"/>
      <c r="U13" s="414"/>
      <c r="V13" s="414"/>
      <c r="W13" s="414">
        <v>3</v>
      </c>
      <c r="X13" s="414"/>
      <c r="Y13" s="414"/>
      <c r="Z13" s="414"/>
      <c r="AA13" s="414">
        <v>17</v>
      </c>
      <c r="AB13" s="414"/>
      <c r="AC13" s="414"/>
      <c r="AD13" s="414"/>
      <c r="AE13" s="414">
        <v>12</v>
      </c>
      <c r="AF13" s="414"/>
      <c r="AG13" s="414"/>
      <c r="AH13" s="414"/>
      <c r="AI13" s="414">
        <v>5</v>
      </c>
      <c r="AJ13" s="414"/>
      <c r="AK13" s="414"/>
      <c r="AL13" s="414"/>
      <c r="AM13" s="414">
        <v>0</v>
      </c>
      <c r="AN13" s="414"/>
      <c r="AO13" s="414"/>
      <c r="AP13" s="414"/>
      <c r="AQ13" s="414">
        <v>0</v>
      </c>
      <c r="AR13" s="414"/>
      <c r="AS13" s="414"/>
      <c r="AT13" s="414"/>
      <c r="AU13" s="414">
        <v>0</v>
      </c>
      <c r="AV13" s="414"/>
      <c r="AW13" s="414"/>
      <c r="AX13" s="414"/>
      <c r="AY13" s="414">
        <v>3</v>
      </c>
      <c r="AZ13" s="414"/>
      <c r="BA13" s="414"/>
      <c r="BB13" s="414"/>
      <c r="BC13" s="414">
        <v>2</v>
      </c>
      <c r="BD13" s="414"/>
      <c r="BE13" s="414"/>
      <c r="BF13" s="414"/>
      <c r="BG13" s="414">
        <v>1</v>
      </c>
      <c r="BH13" s="414"/>
      <c r="BI13" s="414"/>
      <c r="BJ13" s="414"/>
    </row>
    <row r="14" spans="1:63" ht="13.5" customHeight="1">
      <c r="G14" s="392">
        <v>25</v>
      </c>
      <c r="H14" s="392"/>
      <c r="I14" s="392"/>
      <c r="N14" s="22"/>
      <c r="O14" s="405">
        <f>SUM(S14:Z14)</f>
        <v>3</v>
      </c>
      <c r="P14" s="405"/>
      <c r="Q14" s="405"/>
      <c r="R14" s="405"/>
      <c r="S14" s="405">
        <v>1</v>
      </c>
      <c r="T14" s="405"/>
      <c r="U14" s="405"/>
      <c r="V14" s="405"/>
      <c r="W14" s="405">
        <v>2</v>
      </c>
      <c r="X14" s="405"/>
      <c r="Y14" s="405"/>
      <c r="Z14" s="405"/>
      <c r="AA14" s="405">
        <f>SUM(AE14:AL14)</f>
        <v>16</v>
      </c>
      <c r="AB14" s="405"/>
      <c r="AC14" s="405"/>
      <c r="AD14" s="405"/>
      <c r="AE14" s="405">
        <v>13</v>
      </c>
      <c r="AF14" s="405"/>
      <c r="AG14" s="405"/>
      <c r="AH14" s="405"/>
      <c r="AI14" s="405">
        <v>3</v>
      </c>
      <c r="AJ14" s="405"/>
      <c r="AK14" s="405"/>
      <c r="AL14" s="405"/>
      <c r="AM14" s="405">
        <f>SUM(AQ14:AX14)</f>
        <v>3</v>
      </c>
      <c r="AN14" s="405"/>
      <c r="AO14" s="405"/>
      <c r="AP14" s="405"/>
      <c r="AQ14" s="405">
        <v>2</v>
      </c>
      <c r="AR14" s="405"/>
      <c r="AS14" s="405"/>
      <c r="AT14" s="405"/>
      <c r="AU14" s="405">
        <v>1</v>
      </c>
      <c r="AV14" s="405"/>
      <c r="AW14" s="405"/>
      <c r="AX14" s="405"/>
      <c r="AY14" s="405">
        <f>SUM(BC14:BJ14)</f>
        <v>1</v>
      </c>
      <c r="AZ14" s="405"/>
      <c r="BA14" s="405"/>
      <c r="BB14" s="405"/>
      <c r="BC14" s="405">
        <v>1</v>
      </c>
      <c r="BD14" s="405"/>
      <c r="BE14" s="405"/>
      <c r="BF14" s="405"/>
      <c r="BG14" s="405">
        <v>0</v>
      </c>
      <c r="BH14" s="405"/>
      <c r="BI14" s="405"/>
      <c r="BJ14" s="405"/>
    </row>
    <row r="15" spans="1:6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3">
      <c r="C16" s="400" t="s">
        <v>71</v>
      </c>
      <c r="D16" s="400"/>
      <c r="E16" s="33" t="s">
        <v>73</v>
      </c>
      <c r="F16" s="2" t="s">
        <v>129</v>
      </c>
    </row>
    <row r="17" spans="2:62">
      <c r="B17" s="404" t="s">
        <v>72</v>
      </c>
      <c r="C17" s="404"/>
      <c r="D17" s="404"/>
      <c r="E17" s="33" t="s">
        <v>73</v>
      </c>
      <c r="F17" s="2" t="s">
        <v>85</v>
      </c>
    </row>
    <row r="19" spans="2:62" ht="18" customHeight="1">
      <c r="B19" s="379" t="s">
        <v>392</v>
      </c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79"/>
      <c r="AM19" s="379"/>
      <c r="AN19" s="379"/>
      <c r="AO19" s="379"/>
      <c r="AP19" s="379"/>
      <c r="AQ19" s="379"/>
      <c r="AR19" s="379"/>
      <c r="AS19" s="379"/>
      <c r="AT19" s="379"/>
      <c r="AU19" s="379"/>
      <c r="AV19" s="379"/>
      <c r="AW19" s="379"/>
      <c r="AX19" s="379"/>
      <c r="AY19" s="379"/>
      <c r="AZ19" s="379"/>
      <c r="BA19" s="379"/>
      <c r="BB19" s="379"/>
      <c r="BC19" s="379"/>
      <c r="BD19" s="379"/>
      <c r="BE19" s="379"/>
      <c r="BF19" s="379"/>
      <c r="BG19" s="379"/>
      <c r="BH19" s="379"/>
      <c r="BI19" s="379"/>
      <c r="BJ19" s="379"/>
    </row>
    <row r="20" spans="2:6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2:62">
      <c r="B21" s="381" t="s">
        <v>1</v>
      </c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 t="s">
        <v>18</v>
      </c>
      <c r="P21" s="382"/>
      <c r="Q21" s="382"/>
      <c r="R21" s="382"/>
      <c r="S21" s="382"/>
      <c r="T21" s="382"/>
      <c r="U21" s="500" t="s">
        <v>31</v>
      </c>
      <c r="V21" s="382"/>
      <c r="W21" s="382"/>
      <c r="X21" s="382"/>
      <c r="Y21" s="382"/>
      <c r="Z21" s="382"/>
      <c r="AA21" s="500" t="s">
        <v>32</v>
      </c>
      <c r="AB21" s="382"/>
      <c r="AC21" s="382"/>
      <c r="AD21" s="382"/>
      <c r="AE21" s="382"/>
      <c r="AF21" s="382"/>
      <c r="AG21" s="382" t="s">
        <v>33</v>
      </c>
      <c r="AH21" s="382"/>
      <c r="AI21" s="382"/>
      <c r="AJ21" s="382"/>
      <c r="AK21" s="382"/>
      <c r="AL21" s="382"/>
      <c r="AM21" s="382" t="s">
        <v>34</v>
      </c>
      <c r="AN21" s="382"/>
      <c r="AO21" s="382"/>
      <c r="AP21" s="382"/>
      <c r="AQ21" s="382"/>
      <c r="AR21" s="382"/>
      <c r="AS21" s="382" t="s">
        <v>35</v>
      </c>
      <c r="AT21" s="382"/>
      <c r="AU21" s="382"/>
      <c r="AV21" s="382"/>
      <c r="AW21" s="382"/>
      <c r="AX21" s="382"/>
      <c r="AY21" s="382" t="s">
        <v>36</v>
      </c>
      <c r="AZ21" s="382"/>
      <c r="BA21" s="382"/>
      <c r="BB21" s="382"/>
      <c r="BC21" s="382"/>
      <c r="BD21" s="382"/>
      <c r="BE21" s="382" t="s">
        <v>37</v>
      </c>
      <c r="BF21" s="382"/>
      <c r="BG21" s="382"/>
      <c r="BH21" s="382"/>
      <c r="BI21" s="382"/>
      <c r="BJ21" s="406"/>
    </row>
    <row r="22" spans="2:62">
      <c r="B22" s="383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407"/>
    </row>
    <row r="23" spans="2:62" ht="13.5" customHeight="1">
      <c r="N23" s="21"/>
    </row>
    <row r="24" spans="2:62" ht="12.95" customHeight="1">
      <c r="C24" s="389" t="s">
        <v>7</v>
      </c>
      <c r="D24" s="389"/>
      <c r="E24" s="389"/>
      <c r="F24" s="389"/>
      <c r="G24" s="380">
        <v>20</v>
      </c>
      <c r="H24" s="380"/>
      <c r="I24" s="380"/>
      <c r="J24" s="389" t="s">
        <v>1</v>
      </c>
      <c r="K24" s="389"/>
      <c r="L24" s="389"/>
      <c r="M24" s="389"/>
      <c r="N24" s="22"/>
      <c r="O24" s="499">
        <v>2489</v>
      </c>
      <c r="P24" s="414"/>
      <c r="Q24" s="414"/>
      <c r="R24" s="414"/>
      <c r="S24" s="414"/>
      <c r="T24" s="414"/>
      <c r="U24" s="402">
        <v>1059</v>
      </c>
      <c r="V24" s="402"/>
      <c r="W24" s="402"/>
      <c r="X24" s="402"/>
      <c r="Y24" s="402"/>
      <c r="Z24" s="402"/>
      <c r="AA24" s="402">
        <v>381</v>
      </c>
      <c r="AB24" s="402"/>
      <c r="AC24" s="402"/>
      <c r="AD24" s="402"/>
      <c r="AE24" s="402"/>
      <c r="AF24" s="402"/>
      <c r="AG24" s="402">
        <v>199</v>
      </c>
      <c r="AH24" s="402"/>
      <c r="AI24" s="402"/>
      <c r="AJ24" s="402"/>
      <c r="AK24" s="402"/>
      <c r="AL24" s="402"/>
      <c r="AM24" s="402">
        <v>369</v>
      </c>
      <c r="AN24" s="402"/>
      <c r="AO24" s="402"/>
      <c r="AP24" s="402"/>
      <c r="AQ24" s="402"/>
      <c r="AR24" s="402"/>
      <c r="AS24" s="402">
        <v>174</v>
      </c>
      <c r="AT24" s="402"/>
      <c r="AU24" s="402"/>
      <c r="AV24" s="402"/>
      <c r="AW24" s="402"/>
      <c r="AX24" s="402"/>
      <c r="AY24" s="402">
        <v>307</v>
      </c>
      <c r="AZ24" s="402"/>
      <c r="BA24" s="402"/>
      <c r="BB24" s="402"/>
      <c r="BC24" s="402"/>
      <c r="BD24" s="402"/>
      <c r="BE24" s="402">
        <v>724</v>
      </c>
      <c r="BF24" s="402"/>
      <c r="BG24" s="402"/>
      <c r="BH24" s="402"/>
      <c r="BI24" s="402"/>
      <c r="BJ24" s="402"/>
    </row>
    <row r="25" spans="2:62">
      <c r="G25" s="380">
        <v>21</v>
      </c>
      <c r="H25" s="380"/>
      <c r="I25" s="380"/>
      <c r="N25" s="22"/>
      <c r="O25" s="414">
        <v>2305</v>
      </c>
      <c r="P25" s="414"/>
      <c r="Q25" s="414"/>
      <c r="R25" s="414"/>
      <c r="S25" s="414"/>
      <c r="T25" s="414"/>
      <c r="U25" s="414">
        <v>944</v>
      </c>
      <c r="V25" s="414"/>
      <c r="W25" s="414"/>
      <c r="X25" s="414"/>
      <c r="Y25" s="414"/>
      <c r="Z25" s="414"/>
      <c r="AA25" s="414">
        <v>393</v>
      </c>
      <c r="AB25" s="414"/>
      <c r="AC25" s="414"/>
      <c r="AD25" s="414"/>
      <c r="AE25" s="414"/>
      <c r="AF25" s="414"/>
      <c r="AG25" s="414">
        <v>150</v>
      </c>
      <c r="AH25" s="414"/>
      <c r="AI25" s="414"/>
      <c r="AJ25" s="414"/>
      <c r="AK25" s="414"/>
      <c r="AL25" s="414"/>
      <c r="AM25" s="414">
        <v>315</v>
      </c>
      <c r="AN25" s="414"/>
      <c r="AO25" s="414"/>
      <c r="AP25" s="414"/>
      <c r="AQ25" s="414"/>
      <c r="AR25" s="414"/>
      <c r="AS25" s="414">
        <v>225</v>
      </c>
      <c r="AT25" s="414"/>
      <c r="AU25" s="414"/>
      <c r="AV25" s="414"/>
      <c r="AW25" s="414"/>
      <c r="AX25" s="414"/>
      <c r="AY25" s="414">
        <v>278</v>
      </c>
      <c r="AZ25" s="414"/>
      <c r="BA25" s="414"/>
      <c r="BB25" s="414"/>
      <c r="BC25" s="414"/>
      <c r="BD25" s="414"/>
      <c r="BE25" s="414">
        <v>686</v>
      </c>
      <c r="BF25" s="414"/>
      <c r="BG25" s="414"/>
      <c r="BH25" s="414"/>
      <c r="BI25" s="414"/>
      <c r="BJ25" s="414"/>
    </row>
    <row r="26" spans="2:62">
      <c r="G26" s="380">
        <v>22</v>
      </c>
      <c r="H26" s="380"/>
      <c r="I26" s="380"/>
      <c r="N26" s="22"/>
      <c r="O26" s="414">
        <v>2119</v>
      </c>
      <c r="P26" s="414"/>
      <c r="Q26" s="414"/>
      <c r="R26" s="414"/>
      <c r="S26" s="414"/>
      <c r="T26" s="414"/>
      <c r="U26" s="414">
        <v>962</v>
      </c>
      <c r="V26" s="414"/>
      <c r="W26" s="414"/>
      <c r="X26" s="414"/>
      <c r="Y26" s="414"/>
      <c r="Z26" s="414"/>
      <c r="AA26" s="414">
        <v>270</v>
      </c>
      <c r="AB26" s="414"/>
      <c r="AC26" s="414"/>
      <c r="AD26" s="414"/>
      <c r="AE26" s="414"/>
      <c r="AF26" s="414"/>
      <c r="AG26" s="414">
        <v>222</v>
      </c>
      <c r="AH26" s="414"/>
      <c r="AI26" s="414"/>
      <c r="AJ26" s="414"/>
      <c r="AK26" s="414"/>
      <c r="AL26" s="414"/>
      <c r="AM26" s="414">
        <v>230</v>
      </c>
      <c r="AN26" s="414"/>
      <c r="AO26" s="414"/>
      <c r="AP26" s="414"/>
      <c r="AQ26" s="414"/>
      <c r="AR26" s="414"/>
      <c r="AS26" s="414">
        <v>168</v>
      </c>
      <c r="AT26" s="414"/>
      <c r="AU26" s="414"/>
      <c r="AV26" s="414"/>
      <c r="AW26" s="414"/>
      <c r="AX26" s="414"/>
      <c r="AY26" s="414">
        <v>267</v>
      </c>
      <c r="AZ26" s="414"/>
      <c r="BA26" s="414"/>
      <c r="BB26" s="414"/>
      <c r="BC26" s="414"/>
      <c r="BD26" s="414"/>
      <c r="BE26" s="414">
        <v>655</v>
      </c>
      <c r="BF26" s="414"/>
      <c r="BG26" s="414"/>
      <c r="BH26" s="414"/>
      <c r="BI26" s="414"/>
      <c r="BJ26" s="414"/>
    </row>
    <row r="27" spans="2:62">
      <c r="G27" s="380">
        <v>23</v>
      </c>
      <c r="H27" s="380"/>
      <c r="I27" s="380"/>
      <c r="N27" s="22"/>
      <c r="O27" s="414">
        <v>2291</v>
      </c>
      <c r="P27" s="414"/>
      <c r="Q27" s="414"/>
      <c r="R27" s="414"/>
      <c r="S27" s="414"/>
      <c r="T27" s="414"/>
      <c r="U27" s="414">
        <v>1048</v>
      </c>
      <c r="V27" s="414"/>
      <c r="W27" s="414"/>
      <c r="X27" s="414"/>
      <c r="Y27" s="414"/>
      <c r="Z27" s="414"/>
      <c r="AA27" s="414">
        <v>326</v>
      </c>
      <c r="AB27" s="414"/>
      <c r="AC27" s="414"/>
      <c r="AD27" s="414"/>
      <c r="AE27" s="414"/>
      <c r="AF27" s="414"/>
      <c r="AG27" s="414">
        <v>233</v>
      </c>
      <c r="AH27" s="414"/>
      <c r="AI27" s="414"/>
      <c r="AJ27" s="414"/>
      <c r="AK27" s="414"/>
      <c r="AL27" s="414"/>
      <c r="AM27" s="414">
        <v>244</v>
      </c>
      <c r="AN27" s="414"/>
      <c r="AO27" s="414"/>
      <c r="AP27" s="414"/>
      <c r="AQ27" s="414"/>
      <c r="AR27" s="414"/>
      <c r="AS27" s="414">
        <v>182</v>
      </c>
      <c r="AT27" s="414"/>
      <c r="AU27" s="414"/>
      <c r="AV27" s="414"/>
      <c r="AW27" s="414"/>
      <c r="AX27" s="414"/>
      <c r="AY27" s="414">
        <v>258</v>
      </c>
      <c r="AZ27" s="414"/>
      <c r="BA27" s="414"/>
      <c r="BB27" s="414"/>
      <c r="BC27" s="414"/>
      <c r="BD27" s="414"/>
      <c r="BE27" s="414">
        <v>636</v>
      </c>
      <c r="BF27" s="414"/>
      <c r="BG27" s="414"/>
      <c r="BH27" s="414"/>
      <c r="BI27" s="414"/>
      <c r="BJ27" s="414"/>
    </row>
    <row r="28" spans="2:62">
      <c r="G28" s="392">
        <v>24</v>
      </c>
      <c r="H28" s="392"/>
      <c r="I28" s="392"/>
      <c r="N28" s="22"/>
      <c r="O28" s="405">
        <f>SUM(U28:BD28)</f>
        <v>2225</v>
      </c>
      <c r="P28" s="405"/>
      <c r="Q28" s="405"/>
      <c r="R28" s="405"/>
      <c r="S28" s="405"/>
      <c r="T28" s="405"/>
      <c r="U28" s="405">
        <v>1054</v>
      </c>
      <c r="V28" s="405"/>
      <c r="W28" s="405"/>
      <c r="X28" s="405"/>
      <c r="Y28" s="405"/>
      <c r="Z28" s="405"/>
      <c r="AA28" s="405">
        <v>352</v>
      </c>
      <c r="AB28" s="405"/>
      <c r="AC28" s="405"/>
      <c r="AD28" s="405"/>
      <c r="AE28" s="405"/>
      <c r="AF28" s="405"/>
      <c r="AG28" s="405">
        <v>183</v>
      </c>
      <c r="AH28" s="405"/>
      <c r="AI28" s="405"/>
      <c r="AJ28" s="405"/>
      <c r="AK28" s="405"/>
      <c r="AL28" s="405"/>
      <c r="AM28" s="405">
        <v>243</v>
      </c>
      <c r="AN28" s="405"/>
      <c r="AO28" s="405"/>
      <c r="AP28" s="405"/>
      <c r="AQ28" s="405"/>
      <c r="AR28" s="405"/>
      <c r="AS28" s="405">
        <v>142</v>
      </c>
      <c r="AT28" s="405"/>
      <c r="AU28" s="405"/>
      <c r="AV28" s="405"/>
      <c r="AW28" s="405"/>
      <c r="AX28" s="405"/>
      <c r="AY28" s="405">
        <v>251</v>
      </c>
      <c r="AZ28" s="405"/>
      <c r="BA28" s="405"/>
      <c r="BB28" s="405"/>
      <c r="BC28" s="405"/>
      <c r="BD28" s="405"/>
      <c r="BE28" s="405">
        <v>586</v>
      </c>
      <c r="BF28" s="405"/>
      <c r="BG28" s="405"/>
      <c r="BH28" s="405"/>
      <c r="BI28" s="405"/>
      <c r="BJ28" s="405"/>
    </row>
    <row r="29" spans="2:6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2:62">
      <c r="C30" s="400" t="s">
        <v>8</v>
      </c>
      <c r="D30" s="400"/>
      <c r="E30" s="33" t="s">
        <v>10</v>
      </c>
      <c r="F30" s="377">
        <v>-1</v>
      </c>
      <c r="G30" s="377"/>
      <c r="H30" s="4" t="s">
        <v>38</v>
      </c>
    </row>
    <row r="31" spans="2:62">
      <c r="F31" s="378">
        <v>-2</v>
      </c>
      <c r="G31" s="378"/>
      <c r="H31" s="5" t="s">
        <v>437</v>
      </c>
    </row>
    <row r="32" spans="2:62">
      <c r="B32" s="404" t="s">
        <v>9</v>
      </c>
      <c r="C32" s="404"/>
      <c r="D32" s="404"/>
      <c r="E32" s="33" t="s">
        <v>10</v>
      </c>
      <c r="F32" s="2" t="s">
        <v>39</v>
      </c>
    </row>
    <row r="35" spans="2:62" ht="18" customHeight="1">
      <c r="B35" s="379" t="s">
        <v>393</v>
      </c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79"/>
      <c r="AP35" s="379"/>
      <c r="AQ35" s="379"/>
      <c r="AR35" s="379"/>
      <c r="AS35" s="379"/>
      <c r="AT35" s="379"/>
      <c r="AU35" s="379"/>
      <c r="AV35" s="379"/>
      <c r="AW35" s="379"/>
      <c r="AX35" s="379"/>
      <c r="AY35" s="379"/>
      <c r="AZ35" s="379"/>
      <c r="BA35" s="379"/>
      <c r="BB35" s="379"/>
      <c r="BC35" s="379"/>
      <c r="BD35" s="379"/>
      <c r="BE35" s="379"/>
      <c r="BF35" s="379"/>
      <c r="BG35" s="379"/>
      <c r="BH35" s="379"/>
      <c r="BI35" s="379"/>
      <c r="BJ35" s="379"/>
    </row>
    <row r="36" spans="2:62">
      <c r="BJ36" s="20" t="s">
        <v>17</v>
      </c>
    </row>
    <row r="37" spans="2:62">
      <c r="B37" s="381" t="s">
        <v>1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 t="s">
        <v>40</v>
      </c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2"/>
      <c r="AD37" s="382"/>
      <c r="AE37" s="382" t="s">
        <v>41</v>
      </c>
      <c r="AF37" s="382"/>
      <c r="AG37" s="382"/>
      <c r="AH37" s="382"/>
      <c r="AI37" s="382"/>
      <c r="AJ37" s="382"/>
      <c r="AK37" s="382"/>
      <c r="AL37" s="382"/>
      <c r="AM37" s="382"/>
      <c r="AN37" s="382"/>
      <c r="AO37" s="382"/>
      <c r="AP37" s="382"/>
      <c r="AQ37" s="382"/>
      <c r="AR37" s="382"/>
      <c r="AS37" s="382"/>
      <c r="AT37" s="382"/>
      <c r="AU37" s="382" t="s">
        <v>42</v>
      </c>
      <c r="AV37" s="382"/>
      <c r="AW37" s="382"/>
      <c r="AX37" s="382"/>
      <c r="AY37" s="382"/>
      <c r="AZ37" s="382"/>
      <c r="BA37" s="382"/>
      <c r="BB37" s="382"/>
      <c r="BC37" s="382"/>
      <c r="BD37" s="382"/>
      <c r="BE37" s="382"/>
      <c r="BF37" s="382"/>
      <c r="BG37" s="382"/>
      <c r="BH37" s="382"/>
      <c r="BI37" s="382"/>
      <c r="BJ37" s="406"/>
    </row>
    <row r="38" spans="2:62">
      <c r="B38" s="383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384"/>
      <c r="AX38" s="384"/>
      <c r="AY38" s="384"/>
      <c r="AZ38" s="384"/>
      <c r="BA38" s="384"/>
      <c r="BB38" s="384"/>
      <c r="BC38" s="384"/>
      <c r="BD38" s="384"/>
      <c r="BE38" s="384"/>
      <c r="BF38" s="384"/>
      <c r="BG38" s="384"/>
      <c r="BH38" s="384"/>
      <c r="BI38" s="384"/>
      <c r="BJ38" s="407"/>
    </row>
    <row r="39" spans="2:62" ht="13.5" customHeight="1">
      <c r="N39" s="21"/>
    </row>
    <row r="40" spans="2:62" ht="12.95" customHeight="1">
      <c r="C40" s="389" t="s">
        <v>7</v>
      </c>
      <c r="D40" s="389"/>
      <c r="E40" s="389"/>
      <c r="F40" s="389"/>
      <c r="G40" s="380">
        <v>20</v>
      </c>
      <c r="H40" s="380"/>
      <c r="I40" s="380"/>
      <c r="J40" s="389" t="s">
        <v>1</v>
      </c>
      <c r="K40" s="389"/>
      <c r="L40" s="389"/>
      <c r="M40" s="389"/>
      <c r="N40" s="22"/>
      <c r="O40" s="402">
        <v>5218</v>
      </c>
      <c r="P40" s="496"/>
      <c r="Q40" s="496"/>
      <c r="R40" s="496"/>
      <c r="S40" s="496"/>
      <c r="T40" s="496"/>
      <c r="U40" s="496"/>
      <c r="V40" s="496"/>
      <c r="W40" s="496"/>
      <c r="X40" s="496"/>
      <c r="Y40" s="496"/>
      <c r="Z40" s="496"/>
      <c r="AA40" s="496"/>
      <c r="AB40" s="496"/>
      <c r="AC40" s="496"/>
      <c r="AD40" s="496"/>
      <c r="AE40" s="402">
        <v>3299</v>
      </c>
      <c r="AF40" s="496"/>
      <c r="AG40" s="496"/>
      <c r="AH40" s="496"/>
      <c r="AI40" s="496"/>
      <c r="AJ40" s="496"/>
      <c r="AK40" s="496"/>
      <c r="AL40" s="496"/>
      <c r="AM40" s="496"/>
      <c r="AN40" s="496"/>
      <c r="AO40" s="496"/>
      <c r="AP40" s="496"/>
      <c r="AQ40" s="496"/>
      <c r="AR40" s="496"/>
      <c r="AS40" s="496"/>
      <c r="AT40" s="496"/>
      <c r="AU40" s="402">
        <v>20583</v>
      </c>
      <c r="AV40" s="497"/>
      <c r="AW40" s="497"/>
      <c r="AX40" s="497"/>
      <c r="AY40" s="497"/>
      <c r="AZ40" s="497"/>
      <c r="BA40" s="497"/>
      <c r="BB40" s="497"/>
      <c r="BC40" s="497"/>
      <c r="BD40" s="497"/>
      <c r="BE40" s="497"/>
      <c r="BF40" s="497"/>
      <c r="BG40" s="497"/>
      <c r="BH40" s="497"/>
      <c r="BI40" s="497"/>
      <c r="BJ40" s="497"/>
    </row>
    <row r="41" spans="2:62" ht="12.95" customHeight="1">
      <c r="G41" s="380">
        <v>21</v>
      </c>
      <c r="H41" s="380"/>
      <c r="I41" s="380"/>
      <c r="N41" s="22"/>
      <c r="O41" s="402">
        <v>10304</v>
      </c>
      <c r="P41" s="496"/>
      <c r="Q41" s="496"/>
      <c r="R41" s="496"/>
      <c r="S41" s="496"/>
      <c r="T41" s="496"/>
      <c r="U41" s="496"/>
      <c r="V41" s="496"/>
      <c r="W41" s="496"/>
      <c r="X41" s="496"/>
      <c r="Y41" s="496"/>
      <c r="Z41" s="496"/>
      <c r="AA41" s="496"/>
      <c r="AB41" s="496"/>
      <c r="AC41" s="496"/>
      <c r="AD41" s="496"/>
      <c r="AE41" s="402">
        <v>6058</v>
      </c>
      <c r="AF41" s="496"/>
      <c r="AG41" s="496"/>
      <c r="AH41" s="496"/>
      <c r="AI41" s="496"/>
      <c r="AJ41" s="496"/>
      <c r="AK41" s="496"/>
      <c r="AL41" s="496"/>
      <c r="AM41" s="496"/>
      <c r="AN41" s="496"/>
      <c r="AO41" s="496"/>
      <c r="AP41" s="496"/>
      <c r="AQ41" s="496"/>
      <c r="AR41" s="496"/>
      <c r="AS41" s="496"/>
      <c r="AT41" s="496"/>
      <c r="AU41" s="402">
        <v>31510</v>
      </c>
      <c r="AV41" s="497"/>
      <c r="AW41" s="497"/>
      <c r="AX41" s="497"/>
      <c r="AY41" s="497"/>
      <c r="AZ41" s="497"/>
      <c r="BA41" s="497"/>
      <c r="BB41" s="497"/>
      <c r="BC41" s="497"/>
      <c r="BD41" s="497"/>
      <c r="BE41" s="497"/>
      <c r="BF41" s="497"/>
      <c r="BG41" s="497"/>
      <c r="BH41" s="497"/>
      <c r="BI41" s="497"/>
      <c r="BJ41" s="497"/>
    </row>
    <row r="42" spans="2:62">
      <c r="G42" s="380">
        <v>22</v>
      </c>
      <c r="H42" s="380"/>
      <c r="I42" s="380"/>
      <c r="N42" s="22"/>
      <c r="O42" s="402">
        <v>12691</v>
      </c>
      <c r="P42" s="496"/>
      <c r="Q42" s="496"/>
      <c r="R42" s="496"/>
      <c r="S42" s="496"/>
      <c r="T42" s="496"/>
      <c r="U42" s="496"/>
      <c r="V42" s="496"/>
      <c r="W42" s="496"/>
      <c r="X42" s="496"/>
      <c r="Y42" s="496"/>
      <c r="Z42" s="496"/>
      <c r="AA42" s="496"/>
      <c r="AB42" s="496"/>
      <c r="AC42" s="496"/>
      <c r="AD42" s="496"/>
      <c r="AE42" s="402">
        <v>5295</v>
      </c>
      <c r="AF42" s="496"/>
      <c r="AG42" s="496"/>
      <c r="AH42" s="496"/>
      <c r="AI42" s="496"/>
      <c r="AJ42" s="496"/>
      <c r="AK42" s="496"/>
      <c r="AL42" s="496"/>
      <c r="AM42" s="496"/>
      <c r="AN42" s="496"/>
      <c r="AO42" s="496"/>
      <c r="AP42" s="496"/>
      <c r="AQ42" s="496"/>
      <c r="AR42" s="496"/>
      <c r="AS42" s="496"/>
      <c r="AT42" s="496"/>
      <c r="AU42" s="402">
        <v>31369</v>
      </c>
      <c r="AV42" s="497"/>
      <c r="AW42" s="497"/>
      <c r="AX42" s="497"/>
      <c r="AY42" s="497"/>
      <c r="AZ42" s="497"/>
      <c r="BA42" s="497"/>
      <c r="BB42" s="497"/>
      <c r="BC42" s="497"/>
      <c r="BD42" s="497"/>
      <c r="BE42" s="497"/>
      <c r="BF42" s="497"/>
      <c r="BG42" s="497"/>
      <c r="BH42" s="497"/>
      <c r="BI42" s="497"/>
      <c r="BJ42" s="497"/>
    </row>
    <row r="43" spans="2:62">
      <c r="G43" s="380">
        <v>23</v>
      </c>
      <c r="H43" s="380"/>
      <c r="I43" s="380"/>
      <c r="N43" s="22"/>
      <c r="O43" s="402">
        <v>13392</v>
      </c>
      <c r="P43" s="496"/>
      <c r="Q43" s="496"/>
      <c r="R43" s="496"/>
      <c r="S43" s="496"/>
      <c r="T43" s="496"/>
      <c r="U43" s="496"/>
      <c r="V43" s="496"/>
      <c r="W43" s="496"/>
      <c r="X43" s="496"/>
      <c r="Y43" s="496"/>
      <c r="Z43" s="496"/>
      <c r="AA43" s="496"/>
      <c r="AB43" s="496"/>
      <c r="AC43" s="496"/>
      <c r="AD43" s="496"/>
      <c r="AE43" s="402">
        <v>7232</v>
      </c>
      <c r="AF43" s="496"/>
      <c r="AG43" s="496"/>
      <c r="AH43" s="496"/>
      <c r="AI43" s="496"/>
      <c r="AJ43" s="496"/>
      <c r="AK43" s="496"/>
      <c r="AL43" s="496"/>
      <c r="AM43" s="496"/>
      <c r="AN43" s="496"/>
      <c r="AO43" s="496"/>
      <c r="AP43" s="496"/>
      <c r="AQ43" s="496"/>
      <c r="AR43" s="496"/>
      <c r="AS43" s="496"/>
      <c r="AT43" s="496"/>
      <c r="AU43" s="402">
        <v>34429</v>
      </c>
      <c r="AV43" s="497"/>
      <c r="AW43" s="497"/>
      <c r="AX43" s="497"/>
      <c r="AY43" s="497"/>
      <c r="AZ43" s="497"/>
      <c r="BA43" s="497"/>
      <c r="BB43" s="497"/>
      <c r="BC43" s="497"/>
      <c r="BD43" s="497"/>
      <c r="BE43" s="497"/>
      <c r="BF43" s="497"/>
      <c r="BG43" s="497"/>
      <c r="BH43" s="497"/>
      <c r="BI43" s="497"/>
      <c r="BJ43" s="497"/>
    </row>
    <row r="44" spans="2:62">
      <c r="G44" s="392">
        <v>24</v>
      </c>
      <c r="H44" s="392"/>
      <c r="I44" s="392"/>
      <c r="N44" s="22"/>
      <c r="O44" s="405">
        <v>16157</v>
      </c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05">
        <v>6607</v>
      </c>
      <c r="AF44" s="498"/>
      <c r="AG44" s="498"/>
      <c r="AH44" s="498"/>
      <c r="AI44" s="498"/>
      <c r="AJ44" s="498"/>
      <c r="AK44" s="498"/>
      <c r="AL44" s="498"/>
      <c r="AM44" s="498"/>
      <c r="AN44" s="498"/>
      <c r="AO44" s="498"/>
      <c r="AP44" s="498"/>
      <c r="AQ44" s="498"/>
      <c r="AR44" s="498"/>
      <c r="AS44" s="498"/>
      <c r="AT44" s="498"/>
      <c r="AU44" s="405">
        <v>33169</v>
      </c>
      <c r="AV44" s="498"/>
      <c r="AW44" s="498"/>
      <c r="AX44" s="498"/>
      <c r="AY44" s="498"/>
      <c r="AZ44" s="498"/>
      <c r="BA44" s="498"/>
      <c r="BB44" s="498"/>
      <c r="BC44" s="498"/>
      <c r="BD44" s="498"/>
      <c r="BE44" s="498"/>
      <c r="BF44" s="498"/>
      <c r="BG44" s="498"/>
      <c r="BH44" s="498"/>
      <c r="BI44" s="498"/>
      <c r="BJ44" s="498"/>
    </row>
    <row r="45" spans="2:6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2:62">
      <c r="C46" s="400" t="s">
        <v>8</v>
      </c>
      <c r="D46" s="400"/>
      <c r="E46" s="33" t="s">
        <v>10</v>
      </c>
      <c r="F46" s="237" t="s">
        <v>418</v>
      </c>
      <c r="G46" s="235"/>
      <c r="H46" s="210"/>
      <c r="I46" s="238"/>
    </row>
    <row r="47" spans="2:62">
      <c r="F47" s="239" t="s">
        <v>419</v>
      </c>
      <c r="G47" s="236"/>
      <c r="H47" s="210"/>
      <c r="I47" s="205"/>
    </row>
    <row r="48" spans="2:62">
      <c r="B48" s="404" t="s">
        <v>9</v>
      </c>
      <c r="C48" s="404"/>
      <c r="D48" s="404"/>
      <c r="E48" s="33" t="s">
        <v>10</v>
      </c>
      <c r="F48" s="2" t="s">
        <v>39</v>
      </c>
    </row>
    <row r="51" ht="18" customHeight="1"/>
    <row r="52" ht="12.75" customHeight="1"/>
  </sheetData>
  <mergeCells count="178">
    <mergeCell ref="C24:F24"/>
    <mergeCell ref="G24:I24"/>
    <mergeCell ref="J24:M24"/>
    <mergeCell ref="O24:T24"/>
    <mergeCell ref="U24:Z24"/>
    <mergeCell ref="AA24:AF24"/>
    <mergeCell ref="B19:BJ19"/>
    <mergeCell ref="B21:N22"/>
    <mergeCell ref="O21:T22"/>
    <mergeCell ref="U21:Z22"/>
    <mergeCell ref="AA21:AF22"/>
    <mergeCell ref="AG21:AL22"/>
    <mergeCell ref="AM21:AR22"/>
    <mergeCell ref="AS21:AX22"/>
    <mergeCell ref="AY21:BD22"/>
    <mergeCell ref="BE21:BJ22"/>
    <mergeCell ref="AG24:AL24"/>
    <mergeCell ref="AM24:AR24"/>
    <mergeCell ref="AS24:AX24"/>
    <mergeCell ref="AY24:BD24"/>
    <mergeCell ref="BE24:BJ24"/>
    <mergeCell ref="G25:I25"/>
    <mergeCell ref="O25:T25"/>
    <mergeCell ref="U25:Z25"/>
    <mergeCell ref="AA25:AF25"/>
    <mergeCell ref="AG25:AL25"/>
    <mergeCell ref="AM25:AR25"/>
    <mergeCell ref="AS25:AX25"/>
    <mergeCell ref="AY25:BD25"/>
    <mergeCell ref="BE25:BJ25"/>
    <mergeCell ref="G26:I26"/>
    <mergeCell ref="O26:T26"/>
    <mergeCell ref="U26:Z26"/>
    <mergeCell ref="AA26:AF26"/>
    <mergeCell ref="AG26:AL26"/>
    <mergeCell ref="AM26:AR26"/>
    <mergeCell ref="AS26:AX26"/>
    <mergeCell ref="AY26:BD26"/>
    <mergeCell ref="BE26:BJ26"/>
    <mergeCell ref="F31:G31"/>
    <mergeCell ref="B32:D32"/>
    <mergeCell ref="B35:BJ35"/>
    <mergeCell ref="AY27:BD27"/>
    <mergeCell ref="BE27:BJ27"/>
    <mergeCell ref="G28:I28"/>
    <mergeCell ref="O28:T28"/>
    <mergeCell ref="U28:Z28"/>
    <mergeCell ref="AA28:AF28"/>
    <mergeCell ref="AG28:AL28"/>
    <mergeCell ref="AM28:AR28"/>
    <mergeCell ref="AS28:AX28"/>
    <mergeCell ref="AY28:BD28"/>
    <mergeCell ref="G27:I27"/>
    <mergeCell ref="O27:T27"/>
    <mergeCell ref="U27:Z27"/>
    <mergeCell ref="AA27:AF27"/>
    <mergeCell ref="AG27:AL27"/>
    <mergeCell ref="AM27:AR27"/>
    <mergeCell ref="AS27:AX27"/>
    <mergeCell ref="BE28:BJ28"/>
    <mergeCell ref="C30:D30"/>
    <mergeCell ref="F30:G30"/>
    <mergeCell ref="G41:I41"/>
    <mergeCell ref="O41:AD41"/>
    <mergeCell ref="AE41:AT41"/>
    <mergeCell ref="AU41:BJ41"/>
    <mergeCell ref="G42:I42"/>
    <mergeCell ref="O42:AD42"/>
    <mergeCell ref="AE42:AT42"/>
    <mergeCell ref="AU42:BJ42"/>
    <mergeCell ref="B37:N38"/>
    <mergeCell ref="O37:AD38"/>
    <mergeCell ref="AE37:AT38"/>
    <mergeCell ref="AU37:BJ38"/>
    <mergeCell ref="C40:F40"/>
    <mergeCell ref="G40:I40"/>
    <mergeCell ref="J40:M40"/>
    <mergeCell ref="O40:AD40"/>
    <mergeCell ref="AE40:AT40"/>
    <mergeCell ref="AU40:BJ40"/>
    <mergeCell ref="C46:D46"/>
    <mergeCell ref="B48:D48"/>
    <mergeCell ref="G43:I43"/>
    <mergeCell ref="O43:AD43"/>
    <mergeCell ref="AE43:AT43"/>
    <mergeCell ref="AU43:BJ43"/>
    <mergeCell ref="G44:I44"/>
    <mergeCell ref="O44:AD44"/>
    <mergeCell ref="AE44:AT44"/>
    <mergeCell ref="AU44:BJ44"/>
    <mergeCell ref="G14:I14"/>
    <mergeCell ref="O14:R14"/>
    <mergeCell ref="S14:V14"/>
    <mergeCell ref="W14:Z14"/>
    <mergeCell ref="AA14:AD14"/>
    <mergeCell ref="AE14:AH14"/>
    <mergeCell ref="BG14:BJ14"/>
    <mergeCell ref="C16:D16"/>
    <mergeCell ref="B17:D17"/>
    <mergeCell ref="AI14:AL14"/>
    <mergeCell ref="AM14:AP14"/>
    <mergeCell ref="AQ14:AT14"/>
    <mergeCell ref="AU14:AX14"/>
    <mergeCell ref="AY14:BB14"/>
    <mergeCell ref="BC14:BF14"/>
    <mergeCell ref="BG10:BJ10"/>
    <mergeCell ref="BG11:BJ11"/>
    <mergeCell ref="G12:I12"/>
    <mergeCell ref="O12:R12"/>
    <mergeCell ref="S12:V12"/>
    <mergeCell ref="W12:Z12"/>
    <mergeCell ref="AA12:AD12"/>
    <mergeCell ref="AE12:AH12"/>
    <mergeCell ref="AI12:AL12"/>
    <mergeCell ref="AM12:AP12"/>
    <mergeCell ref="AQ12:AT12"/>
    <mergeCell ref="AU12:AX12"/>
    <mergeCell ref="AY12:BB12"/>
    <mergeCell ref="BC12:BF12"/>
    <mergeCell ref="BG12:BJ12"/>
    <mergeCell ref="G11:I11"/>
    <mergeCell ref="O11:R11"/>
    <mergeCell ref="S11:V11"/>
    <mergeCell ref="W11:Z11"/>
    <mergeCell ref="AA11:AD11"/>
    <mergeCell ref="AE11:AH11"/>
    <mergeCell ref="AI11:AL11"/>
    <mergeCell ref="AM11:AP11"/>
    <mergeCell ref="AQ11:AT11"/>
    <mergeCell ref="AY11:BB11"/>
    <mergeCell ref="BC11:BF11"/>
    <mergeCell ref="C10:F10"/>
    <mergeCell ref="J10:M10"/>
    <mergeCell ref="G10:I10"/>
    <mergeCell ref="O10:R10"/>
    <mergeCell ref="S10:V10"/>
    <mergeCell ref="W10:Z10"/>
    <mergeCell ref="AA10:AD10"/>
    <mergeCell ref="AE10:AH10"/>
    <mergeCell ref="AI10:AL10"/>
    <mergeCell ref="AM10:AP10"/>
    <mergeCell ref="AQ10:AT10"/>
    <mergeCell ref="AU10:AX10"/>
    <mergeCell ref="AY10:BB10"/>
    <mergeCell ref="BC10:BF10"/>
    <mergeCell ref="AU11:AX11"/>
    <mergeCell ref="AS1:BK2"/>
    <mergeCell ref="B5:BJ5"/>
    <mergeCell ref="B7:N8"/>
    <mergeCell ref="O7:Z7"/>
    <mergeCell ref="AA7:AL7"/>
    <mergeCell ref="AM7:AX7"/>
    <mergeCell ref="AY7:BJ7"/>
    <mergeCell ref="O8:R8"/>
    <mergeCell ref="S8:V8"/>
    <mergeCell ref="W8:Z8"/>
    <mergeCell ref="AA8:AD8"/>
    <mergeCell ref="AE8:AH8"/>
    <mergeCell ref="AI8:AL8"/>
    <mergeCell ref="AM8:AP8"/>
    <mergeCell ref="AQ8:AT8"/>
    <mergeCell ref="AU8:AX8"/>
    <mergeCell ref="AY8:BB8"/>
    <mergeCell ref="BC8:BF8"/>
    <mergeCell ref="BG8:BJ8"/>
    <mergeCell ref="AU13:AX13"/>
    <mergeCell ref="AY13:BB13"/>
    <mergeCell ref="BC13:BF13"/>
    <mergeCell ref="BG13:BJ13"/>
    <mergeCell ref="G13:I13"/>
    <mergeCell ref="O13:R13"/>
    <mergeCell ref="S13:V13"/>
    <mergeCell ref="W13:Z13"/>
    <mergeCell ref="AA13:AD13"/>
    <mergeCell ref="AE13:AH13"/>
    <mergeCell ref="AI13:AL13"/>
    <mergeCell ref="AM13:AP13"/>
    <mergeCell ref="AQ13:AT13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K69"/>
  <sheetViews>
    <sheetView view="pageBreakPreview" zoomScaleNormal="100" zoomScaleSheetLayoutView="100" workbookViewId="0">
      <selection sqref="A1:S2"/>
    </sheetView>
  </sheetViews>
  <sheetFormatPr defaultRowHeight="13.5"/>
  <cols>
    <col min="1" max="63" width="1.625" customWidth="1"/>
  </cols>
  <sheetData>
    <row r="1" spans="1:62" ht="11.1" customHeight="1">
      <c r="A1" s="376">
        <f>'189'!AS1+1</f>
        <v>190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</row>
    <row r="2" spans="1:62" ht="11.1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62" ht="11.1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62" ht="11.1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62" ht="18" customHeight="1">
      <c r="B5" s="379" t="s">
        <v>394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</row>
    <row r="6" spans="1:62" ht="12.95" customHeight="1">
      <c r="B6" s="380" t="s">
        <v>455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  <c r="BJ6" s="380"/>
    </row>
    <row r="7" spans="1:62" ht="12.9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3.5" customHeight="1">
      <c r="B8" s="381" t="s">
        <v>1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526" t="s">
        <v>144</v>
      </c>
      <c r="N8" s="527"/>
      <c r="O8" s="527"/>
      <c r="P8" s="527"/>
      <c r="Q8" s="527"/>
      <c r="R8" s="527"/>
      <c r="S8" s="527"/>
      <c r="T8" s="528"/>
      <c r="U8" s="526" t="s">
        <v>409</v>
      </c>
      <c r="V8" s="527"/>
      <c r="W8" s="527"/>
      <c r="X8" s="527"/>
      <c r="Y8" s="527"/>
      <c r="Z8" s="527"/>
      <c r="AA8" s="527"/>
      <c r="AB8" s="527"/>
      <c r="AC8" s="528"/>
      <c r="AD8" s="526" t="s">
        <v>440</v>
      </c>
      <c r="AE8" s="527"/>
      <c r="AF8" s="527"/>
      <c r="AG8" s="527"/>
      <c r="AH8" s="527"/>
      <c r="AI8" s="527"/>
      <c r="AJ8" s="527"/>
      <c r="AK8" s="528"/>
      <c r="AL8" s="526" t="s">
        <v>410</v>
      </c>
      <c r="AM8" s="527"/>
      <c r="AN8" s="527"/>
      <c r="AO8" s="527"/>
      <c r="AP8" s="527"/>
      <c r="AQ8" s="527"/>
      <c r="AR8" s="527"/>
      <c r="AS8" s="527"/>
      <c r="AT8" s="527"/>
      <c r="AU8" s="526" t="s">
        <v>145</v>
      </c>
      <c r="AV8" s="527"/>
      <c r="AW8" s="527"/>
      <c r="AX8" s="527"/>
      <c r="AY8" s="527"/>
      <c r="AZ8" s="527"/>
      <c r="BA8" s="527"/>
      <c r="BB8" s="528"/>
      <c r="BC8" s="526" t="s">
        <v>146</v>
      </c>
      <c r="BD8" s="527"/>
      <c r="BE8" s="527"/>
      <c r="BF8" s="527"/>
      <c r="BG8" s="527"/>
      <c r="BH8" s="527"/>
      <c r="BI8" s="527"/>
      <c r="BJ8" s="527"/>
    </row>
    <row r="9" spans="1:62">
      <c r="B9" s="487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29"/>
      <c r="N9" s="530"/>
      <c r="O9" s="530"/>
      <c r="P9" s="530"/>
      <c r="Q9" s="530"/>
      <c r="R9" s="530"/>
      <c r="S9" s="530"/>
      <c r="T9" s="531"/>
      <c r="U9" s="529"/>
      <c r="V9" s="530"/>
      <c r="W9" s="530"/>
      <c r="X9" s="530"/>
      <c r="Y9" s="530"/>
      <c r="Z9" s="530"/>
      <c r="AA9" s="530"/>
      <c r="AB9" s="530"/>
      <c r="AC9" s="531"/>
      <c r="AD9" s="529"/>
      <c r="AE9" s="530"/>
      <c r="AF9" s="530"/>
      <c r="AG9" s="530"/>
      <c r="AH9" s="530"/>
      <c r="AI9" s="530"/>
      <c r="AJ9" s="530"/>
      <c r="AK9" s="531"/>
      <c r="AL9" s="529"/>
      <c r="AM9" s="530"/>
      <c r="AN9" s="530"/>
      <c r="AO9" s="530"/>
      <c r="AP9" s="530"/>
      <c r="AQ9" s="530"/>
      <c r="AR9" s="530"/>
      <c r="AS9" s="530"/>
      <c r="AT9" s="530"/>
      <c r="AU9" s="529"/>
      <c r="AV9" s="530"/>
      <c r="AW9" s="530"/>
      <c r="AX9" s="530"/>
      <c r="AY9" s="530"/>
      <c r="AZ9" s="530"/>
      <c r="BA9" s="530"/>
      <c r="BB9" s="531"/>
      <c r="BC9" s="529"/>
      <c r="BD9" s="530"/>
      <c r="BE9" s="530"/>
      <c r="BF9" s="530"/>
      <c r="BG9" s="530"/>
      <c r="BH9" s="530"/>
      <c r="BI9" s="530"/>
      <c r="BJ9" s="530"/>
    </row>
    <row r="10" spans="1:62">
      <c r="B10" s="383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532"/>
      <c r="N10" s="533"/>
      <c r="O10" s="533"/>
      <c r="P10" s="533"/>
      <c r="Q10" s="533"/>
      <c r="R10" s="533"/>
      <c r="S10" s="533"/>
      <c r="T10" s="534"/>
      <c r="U10" s="532"/>
      <c r="V10" s="533"/>
      <c r="W10" s="533"/>
      <c r="X10" s="533"/>
      <c r="Y10" s="533"/>
      <c r="Z10" s="533"/>
      <c r="AA10" s="533"/>
      <c r="AB10" s="533"/>
      <c r="AC10" s="534"/>
      <c r="AD10" s="532"/>
      <c r="AE10" s="533"/>
      <c r="AF10" s="533"/>
      <c r="AG10" s="533"/>
      <c r="AH10" s="533"/>
      <c r="AI10" s="533"/>
      <c r="AJ10" s="533"/>
      <c r="AK10" s="534"/>
      <c r="AL10" s="532"/>
      <c r="AM10" s="533"/>
      <c r="AN10" s="533"/>
      <c r="AO10" s="533"/>
      <c r="AP10" s="533"/>
      <c r="AQ10" s="533"/>
      <c r="AR10" s="533"/>
      <c r="AS10" s="533"/>
      <c r="AT10" s="533"/>
      <c r="AU10" s="532"/>
      <c r="AV10" s="533"/>
      <c r="AW10" s="533"/>
      <c r="AX10" s="533"/>
      <c r="AY10" s="533"/>
      <c r="AZ10" s="533"/>
      <c r="BA10" s="533"/>
      <c r="BB10" s="534"/>
      <c r="BC10" s="532"/>
      <c r="BD10" s="533"/>
      <c r="BE10" s="533"/>
      <c r="BF10" s="533"/>
      <c r="BG10" s="533"/>
      <c r="BH10" s="533"/>
      <c r="BI10" s="533"/>
      <c r="BJ10" s="533"/>
    </row>
    <row r="11" spans="1:62" ht="13.5" customHeight="1">
      <c r="L11" s="29"/>
      <c r="M11" s="225"/>
      <c r="N11" s="222"/>
      <c r="O11" s="222"/>
      <c r="P11" s="222"/>
      <c r="Q11" s="222"/>
      <c r="R11" s="222"/>
      <c r="S11" s="223"/>
      <c r="T11" s="223"/>
      <c r="U11" s="226"/>
      <c r="V11" s="222"/>
      <c r="W11" s="222"/>
      <c r="X11" s="222"/>
      <c r="Y11" s="222"/>
      <c r="Z11" s="222"/>
      <c r="AA11" s="222"/>
      <c r="AB11" s="223"/>
      <c r="AC11" s="224" t="s">
        <v>411</v>
      </c>
      <c r="AD11" s="226"/>
      <c r="AE11" s="222"/>
      <c r="AF11" s="223"/>
      <c r="AG11" s="222"/>
      <c r="AH11" s="222"/>
      <c r="AI11" s="222"/>
      <c r="AJ11" s="223"/>
      <c r="AK11" s="224" t="s">
        <v>411</v>
      </c>
      <c r="AL11" s="227"/>
      <c r="AM11" s="224"/>
      <c r="AN11" s="224"/>
      <c r="AO11" s="224"/>
      <c r="AP11" s="224"/>
      <c r="AQ11" s="224"/>
      <c r="AR11" s="224"/>
      <c r="AS11" s="224"/>
      <c r="AT11" s="224"/>
      <c r="AU11" s="232"/>
      <c r="AV11" s="229"/>
      <c r="AW11" s="229"/>
      <c r="AX11" s="229"/>
      <c r="AY11" s="229"/>
      <c r="AZ11" s="229"/>
      <c r="BA11" s="230"/>
      <c r="BB11" s="230"/>
      <c r="BC11" s="232"/>
      <c r="BD11" s="229"/>
      <c r="BE11" s="229"/>
      <c r="BF11" s="229"/>
      <c r="BG11" s="229"/>
      <c r="BH11" s="229"/>
      <c r="BI11" s="230"/>
      <c r="BJ11" s="230"/>
    </row>
    <row r="12" spans="1:62" ht="13.5" customHeight="1">
      <c r="C12" s="389" t="s">
        <v>7</v>
      </c>
      <c r="D12" s="389"/>
      <c r="E12" s="389"/>
      <c r="F12" s="380">
        <v>20</v>
      </c>
      <c r="G12" s="380"/>
      <c r="H12" s="380"/>
      <c r="I12" s="389" t="s">
        <v>1</v>
      </c>
      <c r="J12" s="389"/>
      <c r="K12" s="389"/>
      <c r="L12" s="6"/>
      <c r="M12" s="524">
        <v>3330</v>
      </c>
      <c r="N12" s="516"/>
      <c r="O12" s="516"/>
      <c r="P12" s="516"/>
      <c r="Q12" s="516"/>
      <c r="R12" s="516"/>
      <c r="S12" s="516"/>
      <c r="T12" s="516"/>
      <c r="U12" s="516">
        <v>290</v>
      </c>
      <c r="V12" s="516"/>
      <c r="W12" s="516"/>
      <c r="X12" s="516"/>
      <c r="Y12" s="516"/>
      <c r="Z12" s="516"/>
      <c r="AA12" s="516"/>
      <c r="AB12" s="516"/>
      <c r="AC12" s="516"/>
      <c r="AD12" s="516">
        <v>373</v>
      </c>
      <c r="AE12" s="516"/>
      <c r="AF12" s="516"/>
      <c r="AG12" s="516"/>
      <c r="AH12" s="516"/>
      <c r="AI12" s="516"/>
      <c r="AJ12" s="516"/>
      <c r="AK12" s="516"/>
      <c r="AL12" s="516">
        <v>176</v>
      </c>
      <c r="AM12" s="516"/>
      <c r="AN12" s="516"/>
      <c r="AO12" s="516"/>
      <c r="AP12" s="516"/>
      <c r="AQ12" s="516"/>
      <c r="AR12" s="516"/>
      <c r="AS12" s="516"/>
      <c r="AT12" s="516"/>
      <c r="AU12" s="516">
        <v>24</v>
      </c>
      <c r="AV12" s="516"/>
      <c r="AW12" s="516"/>
      <c r="AX12" s="516"/>
      <c r="AY12" s="516"/>
      <c r="AZ12" s="516"/>
      <c r="BA12" s="516"/>
      <c r="BB12" s="516"/>
      <c r="BC12" s="516">
        <v>27</v>
      </c>
      <c r="BD12" s="516"/>
      <c r="BE12" s="516"/>
      <c r="BF12" s="516"/>
      <c r="BG12" s="516"/>
      <c r="BH12" s="516"/>
      <c r="BI12" s="516"/>
      <c r="BJ12" s="516"/>
    </row>
    <row r="13" spans="1:62">
      <c r="F13" s="380">
        <v>21</v>
      </c>
      <c r="G13" s="380"/>
      <c r="H13" s="380"/>
      <c r="L13" s="6"/>
      <c r="M13" s="524">
        <v>3414</v>
      </c>
      <c r="N13" s="516"/>
      <c r="O13" s="516"/>
      <c r="P13" s="516"/>
      <c r="Q13" s="516"/>
      <c r="R13" s="516"/>
      <c r="S13" s="516"/>
      <c r="T13" s="516"/>
      <c r="U13" s="516">
        <v>340</v>
      </c>
      <c r="V13" s="516"/>
      <c r="W13" s="516"/>
      <c r="X13" s="516"/>
      <c r="Y13" s="516"/>
      <c r="Z13" s="516"/>
      <c r="AA13" s="516"/>
      <c r="AB13" s="516"/>
      <c r="AC13" s="516"/>
      <c r="AD13" s="516">
        <v>359</v>
      </c>
      <c r="AE13" s="516"/>
      <c r="AF13" s="516"/>
      <c r="AG13" s="516"/>
      <c r="AH13" s="516"/>
      <c r="AI13" s="516"/>
      <c r="AJ13" s="516"/>
      <c r="AK13" s="516"/>
      <c r="AL13" s="516">
        <v>220</v>
      </c>
      <c r="AM13" s="516"/>
      <c r="AN13" s="516"/>
      <c r="AO13" s="516"/>
      <c r="AP13" s="516"/>
      <c r="AQ13" s="516"/>
      <c r="AR13" s="516"/>
      <c r="AS13" s="516"/>
      <c r="AT13" s="516"/>
      <c r="AU13" s="516">
        <v>21</v>
      </c>
      <c r="AV13" s="516"/>
      <c r="AW13" s="516"/>
      <c r="AX13" s="516"/>
      <c r="AY13" s="516"/>
      <c r="AZ13" s="516"/>
      <c r="BA13" s="516"/>
      <c r="BB13" s="516"/>
      <c r="BC13" s="516">
        <v>21</v>
      </c>
      <c r="BD13" s="516"/>
      <c r="BE13" s="516"/>
      <c r="BF13" s="516"/>
      <c r="BG13" s="516"/>
      <c r="BH13" s="516"/>
      <c r="BI13" s="516"/>
      <c r="BJ13" s="516"/>
    </row>
    <row r="14" spans="1:62">
      <c r="F14" s="380">
        <v>22</v>
      </c>
      <c r="G14" s="380"/>
      <c r="H14" s="380"/>
      <c r="L14" s="6"/>
      <c r="M14" s="524">
        <v>3507</v>
      </c>
      <c r="N14" s="516"/>
      <c r="O14" s="516"/>
      <c r="P14" s="516"/>
      <c r="Q14" s="516"/>
      <c r="R14" s="516"/>
      <c r="S14" s="516"/>
      <c r="T14" s="516"/>
      <c r="U14" s="516">
        <v>349</v>
      </c>
      <c r="V14" s="516"/>
      <c r="W14" s="516"/>
      <c r="X14" s="516"/>
      <c r="Y14" s="516"/>
      <c r="Z14" s="516"/>
      <c r="AA14" s="516"/>
      <c r="AB14" s="516"/>
      <c r="AC14" s="516"/>
      <c r="AD14" s="516">
        <v>361</v>
      </c>
      <c r="AE14" s="516"/>
      <c r="AF14" s="516"/>
      <c r="AG14" s="516"/>
      <c r="AH14" s="516"/>
      <c r="AI14" s="516"/>
      <c r="AJ14" s="516"/>
      <c r="AK14" s="516"/>
      <c r="AL14" s="516">
        <v>209</v>
      </c>
      <c r="AM14" s="516"/>
      <c r="AN14" s="516"/>
      <c r="AO14" s="516"/>
      <c r="AP14" s="516"/>
      <c r="AQ14" s="516"/>
      <c r="AR14" s="516"/>
      <c r="AS14" s="516"/>
      <c r="AT14" s="516"/>
      <c r="AU14" s="516">
        <v>6</v>
      </c>
      <c r="AV14" s="516"/>
      <c r="AW14" s="516"/>
      <c r="AX14" s="516"/>
      <c r="AY14" s="516"/>
      <c r="AZ14" s="516"/>
      <c r="BA14" s="516"/>
      <c r="BB14" s="516"/>
      <c r="BC14" s="516">
        <v>13</v>
      </c>
      <c r="BD14" s="516"/>
      <c r="BE14" s="516"/>
      <c r="BF14" s="516"/>
      <c r="BG14" s="516"/>
      <c r="BH14" s="516"/>
      <c r="BI14" s="516"/>
      <c r="BJ14" s="516"/>
    </row>
    <row r="15" spans="1:62">
      <c r="F15" s="380">
        <v>23</v>
      </c>
      <c r="G15" s="380"/>
      <c r="H15" s="380"/>
      <c r="L15" s="6"/>
      <c r="M15" s="524">
        <v>3603</v>
      </c>
      <c r="N15" s="516"/>
      <c r="O15" s="516"/>
      <c r="P15" s="516"/>
      <c r="Q15" s="516"/>
      <c r="R15" s="516"/>
      <c r="S15" s="516"/>
      <c r="T15" s="516"/>
      <c r="U15" s="516">
        <v>348</v>
      </c>
      <c r="V15" s="516"/>
      <c r="W15" s="516"/>
      <c r="X15" s="516"/>
      <c r="Y15" s="516"/>
      <c r="Z15" s="516"/>
      <c r="AA15" s="516"/>
      <c r="AB15" s="516"/>
      <c r="AC15" s="516"/>
      <c r="AD15" s="516">
        <v>329</v>
      </c>
      <c r="AE15" s="516"/>
      <c r="AF15" s="516"/>
      <c r="AG15" s="516"/>
      <c r="AH15" s="516"/>
      <c r="AI15" s="516"/>
      <c r="AJ15" s="516"/>
      <c r="AK15" s="516"/>
      <c r="AL15" s="516">
        <v>181</v>
      </c>
      <c r="AM15" s="516"/>
      <c r="AN15" s="516"/>
      <c r="AO15" s="516"/>
      <c r="AP15" s="516"/>
      <c r="AQ15" s="516"/>
      <c r="AR15" s="516"/>
      <c r="AS15" s="516"/>
      <c r="AT15" s="516"/>
      <c r="AU15" s="516">
        <v>3</v>
      </c>
      <c r="AV15" s="516"/>
      <c r="AW15" s="516"/>
      <c r="AX15" s="516"/>
      <c r="AY15" s="516"/>
      <c r="AZ15" s="516"/>
      <c r="BA15" s="516"/>
      <c r="BB15" s="516"/>
      <c r="BC15" s="516">
        <v>11</v>
      </c>
      <c r="BD15" s="516"/>
      <c r="BE15" s="516"/>
      <c r="BF15" s="516"/>
      <c r="BG15" s="516"/>
      <c r="BH15" s="516"/>
      <c r="BI15" s="516"/>
      <c r="BJ15" s="516"/>
    </row>
    <row r="16" spans="1:62">
      <c r="F16" s="392">
        <v>24</v>
      </c>
      <c r="G16" s="392"/>
      <c r="H16" s="392"/>
      <c r="L16" s="6"/>
      <c r="M16" s="525">
        <v>3640</v>
      </c>
      <c r="N16" s="523"/>
      <c r="O16" s="523"/>
      <c r="P16" s="523"/>
      <c r="Q16" s="523"/>
      <c r="R16" s="523"/>
      <c r="S16" s="523"/>
      <c r="T16" s="523"/>
      <c r="U16" s="523">
        <v>399</v>
      </c>
      <c r="V16" s="523"/>
      <c r="W16" s="523"/>
      <c r="X16" s="523"/>
      <c r="Y16" s="523"/>
      <c r="Z16" s="523"/>
      <c r="AA16" s="523"/>
      <c r="AB16" s="523"/>
      <c r="AC16" s="523"/>
      <c r="AD16" s="523">
        <v>341</v>
      </c>
      <c r="AE16" s="523"/>
      <c r="AF16" s="523"/>
      <c r="AG16" s="523"/>
      <c r="AH16" s="523"/>
      <c r="AI16" s="523"/>
      <c r="AJ16" s="523"/>
      <c r="AK16" s="523"/>
      <c r="AL16" s="523">
        <v>169</v>
      </c>
      <c r="AM16" s="523"/>
      <c r="AN16" s="523"/>
      <c r="AO16" s="523"/>
      <c r="AP16" s="523"/>
      <c r="AQ16" s="523"/>
      <c r="AR16" s="523"/>
      <c r="AS16" s="523"/>
      <c r="AT16" s="523"/>
      <c r="AU16" s="523">
        <v>7</v>
      </c>
      <c r="AV16" s="523"/>
      <c r="AW16" s="523"/>
      <c r="AX16" s="523"/>
      <c r="AY16" s="523"/>
      <c r="AZ16" s="523"/>
      <c r="BA16" s="523"/>
      <c r="BB16" s="523"/>
      <c r="BC16" s="523">
        <v>16</v>
      </c>
      <c r="BD16" s="523"/>
      <c r="BE16" s="523"/>
      <c r="BF16" s="523"/>
      <c r="BG16" s="523"/>
      <c r="BH16" s="523"/>
      <c r="BI16" s="523"/>
      <c r="BJ16" s="523"/>
    </row>
    <row r="17" spans="2:62" ht="13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1"/>
      <c r="AS17" s="1"/>
      <c r="AT17" s="1"/>
      <c r="AU17" s="208"/>
      <c r="AV17" s="208"/>
      <c r="AW17" s="208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</row>
    <row r="18" spans="2:62" ht="13.5" customHeight="1">
      <c r="B18" s="381" t="s">
        <v>1</v>
      </c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517" t="s">
        <v>441</v>
      </c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9"/>
      <c r="AD18" s="517" t="s">
        <v>441</v>
      </c>
      <c r="AE18" s="518"/>
      <c r="AF18" s="518"/>
      <c r="AG18" s="518"/>
      <c r="AH18" s="518"/>
      <c r="AI18" s="518"/>
      <c r="AJ18" s="518"/>
      <c r="AK18" s="518"/>
      <c r="AL18" s="518"/>
      <c r="AM18" s="518"/>
      <c r="AN18" s="518"/>
      <c r="AO18" s="518"/>
      <c r="AP18" s="518"/>
      <c r="AQ18" s="518"/>
      <c r="AR18" s="518"/>
      <c r="AS18" s="518"/>
      <c r="AT18" s="519"/>
      <c r="AU18" s="501" t="s">
        <v>147</v>
      </c>
      <c r="AV18" s="502"/>
      <c r="AW18" s="502"/>
      <c r="AX18" s="502"/>
      <c r="AY18" s="502"/>
      <c r="AZ18" s="502"/>
      <c r="BA18" s="502"/>
      <c r="BB18" s="503"/>
      <c r="BC18" s="501" t="s">
        <v>412</v>
      </c>
      <c r="BD18" s="502"/>
      <c r="BE18" s="502"/>
      <c r="BF18" s="502"/>
      <c r="BG18" s="502"/>
      <c r="BH18" s="502"/>
      <c r="BI18" s="502"/>
      <c r="BJ18" s="502"/>
    </row>
    <row r="19" spans="2:62" ht="13.5" customHeight="1">
      <c r="B19" s="487"/>
      <c r="C19" s="535"/>
      <c r="D19" s="535"/>
      <c r="E19" s="535"/>
      <c r="F19" s="535"/>
      <c r="G19" s="535"/>
      <c r="H19" s="535"/>
      <c r="I19" s="535"/>
      <c r="J19" s="535"/>
      <c r="K19" s="535"/>
      <c r="L19" s="535"/>
      <c r="M19" s="520" t="s">
        <v>443</v>
      </c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2"/>
      <c r="AD19" s="520" t="s">
        <v>442</v>
      </c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1"/>
      <c r="AQ19" s="521"/>
      <c r="AR19" s="521"/>
      <c r="AS19" s="521"/>
      <c r="AT19" s="522"/>
      <c r="AU19" s="504"/>
      <c r="AV19" s="505"/>
      <c r="AW19" s="505"/>
      <c r="AX19" s="505"/>
      <c r="AY19" s="505"/>
      <c r="AZ19" s="505"/>
      <c r="BA19" s="505"/>
      <c r="BB19" s="506"/>
      <c r="BC19" s="504"/>
      <c r="BD19" s="505"/>
      <c r="BE19" s="505"/>
      <c r="BF19" s="505"/>
      <c r="BG19" s="505"/>
      <c r="BH19" s="505"/>
      <c r="BI19" s="505"/>
      <c r="BJ19" s="505"/>
    </row>
    <row r="20" spans="2:62">
      <c r="B20" s="383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510" t="s">
        <v>413</v>
      </c>
      <c r="N20" s="511"/>
      <c r="O20" s="511"/>
      <c r="P20" s="511"/>
      <c r="Q20" s="511"/>
      <c r="R20" s="511"/>
      <c r="S20" s="511"/>
      <c r="T20" s="512"/>
      <c r="U20" s="513" t="s">
        <v>414</v>
      </c>
      <c r="V20" s="514"/>
      <c r="W20" s="514"/>
      <c r="X20" s="514"/>
      <c r="Y20" s="514"/>
      <c r="Z20" s="514"/>
      <c r="AA20" s="514"/>
      <c r="AB20" s="514"/>
      <c r="AC20" s="515"/>
      <c r="AD20" s="510" t="s">
        <v>413</v>
      </c>
      <c r="AE20" s="511"/>
      <c r="AF20" s="511"/>
      <c r="AG20" s="511"/>
      <c r="AH20" s="511"/>
      <c r="AI20" s="511"/>
      <c r="AJ20" s="511"/>
      <c r="AK20" s="512"/>
      <c r="AL20" s="513" t="s">
        <v>414</v>
      </c>
      <c r="AM20" s="514"/>
      <c r="AN20" s="514"/>
      <c r="AO20" s="514"/>
      <c r="AP20" s="514"/>
      <c r="AQ20" s="514"/>
      <c r="AR20" s="514"/>
      <c r="AS20" s="514"/>
      <c r="AT20" s="514"/>
      <c r="AU20" s="507"/>
      <c r="AV20" s="508"/>
      <c r="AW20" s="508"/>
      <c r="AX20" s="508"/>
      <c r="AY20" s="508"/>
      <c r="AZ20" s="508"/>
      <c r="BA20" s="508"/>
      <c r="BB20" s="509"/>
      <c r="BC20" s="507"/>
      <c r="BD20" s="508"/>
      <c r="BE20" s="508"/>
      <c r="BF20" s="508"/>
      <c r="BG20" s="508"/>
      <c r="BH20" s="508"/>
      <c r="BI20" s="508"/>
      <c r="BJ20" s="508"/>
    </row>
    <row r="21" spans="2:62" ht="13.5" customHeight="1">
      <c r="L21" s="29"/>
      <c r="M21" s="228"/>
      <c r="N21" s="229"/>
      <c r="O21" s="229"/>
      <c r="P21" s="229"/>
      <c r="Q21" s="229"/>
      <c r="R21" s="230"/>
      <c r="S21" s="230"/>
      <c r="T21" s="231" t="s">
        <v>415</v>
      </c>
      <c r="U21" s="232"/>
      <c r="V21" s="229"/>
      <c r="W21" s="229"/>
      <c r="X21" s="229"/>
      <c r="Y21" s="229"/>
      <c r="Z21" s="229"/>
      <c r="AA21" s="230"/>
      <c r="AB21" s="230"/>
      <c r="AC21" s="230"/>
      <c r="AD21" s="232"/>
      <c r="AE21" s="229"/>
      <c r="AF21" s="229"/>
      <c r="AG21" s="229"/>
      <c r="AH21" s="231"/>
      <c r="AI21" s="231"/>
      <c r="AJ21" s="231"/>
      <c r="AK21" s="231" t="s">
        <v>415</v>
      </c>
      <c r="AL21" s="233"/>
      <c r="AM21" s="231"/>
      <c r="AN21" s="231"/>
      <c r="AO21" s="231"/>
      <c r="AP21" s="231"/>
      <c r="AQ21" s="231"/>
      <c r="AR21" s="231"/>
      <c r="AS21" s="231"/>
      <c r="AT21" s="231"/>
      <c r="AU21" s="232"/>
      <c r="AV21" s="229"/>
      <c r="AW21" s="229"/>
      <c r="AX21" s="229"/>
      <c r="AY21" s="231"/>
      <c r="AZ21" s="231"/>
      <c r="BA21" s="231"/>
      <c r="BB21" s="231" t="s">
        <v>415</v>
      </c>
      <c r="BC21" s="233"/>
      <c r="BD21" s="231"/>
      <c r="BE21" s="231"/>
      <c r="BF21" s="229"/>
      <c r="BG21" s="229"/>
      <c r="BH21" s="229"/>
      <c r="BI21" s="230"/>
      <c r="BJ21" s="230"/>
    </row>
    <row r="22" spans="2:62" ht="13.5" customHeight="1">
      <c r="C22" s="389" t="s">
        <v>7</v>
      </c>
      <c r="D22" s="389"/>
      <c r="E22" s="389"/>
      <c r="F22" s="380">
        <v>20</v>
      </c>
      <c r="G22" s="380"/>
      <c r="H22" s="380"/>
      <c r="I22" s="389" t="s">
        <v>1</v>
      </c>
      <c r="J22" s="389"/>
      <c r="K22" s="389"/>
      <c r="L22" s="6"/>
      <c r="M22" s="524">
        <v>87</v>
      </c>
      <c r="N22" s="516"/>
      <c r="O22" s="516"/>
      <c r="P22" s="516"/>
      <c r="Q22" s="516"/>
      <c r="R22" s="516"/>
      <c r="S22" s="516"/>
      <c r="T22" s="516"/>
      <c r="U22" s="516">
        <v>7183</v>
      </c>
      <c r="V22" s="516"/>
      <c r="W22" s="516"/>
      <c r="X22" s="516"/>
      <c r="Y22" s="516"/>
      <c r="Z22" s="516"/>
      <c r="AA22" s="516"/>
      <c r="AB22" s="516"/>
      <c r="AC22" s="516"/>
      <c r="AD22" s="516">
        <v>1087</v>
      </c>
      <c r="AE22" s="516"/>
      <c r="AF22" s="516"/>
      <c r="AG22" s="516"/>
      <c r="AH22" s="516"/>
      <c r="AI22" s="516"/>
      <c r="AJ22" s="516"/>
      <c r="AK22" s="516"/>
      <c r="AL22" s="516">
        <v>112305</v>
      </c>
      <c r="AM22" s="516"/>
      <c r="AN22" s="516"/>
      <c r="AO22" s="516"/>
      <c r="AP22" s="516"/>
      <c r="AQ22" s="516"/>
      <c r="AR22" s="516"/>
      <c r="AS22" s="516"/>
      <c r="AT22" s="516"/>
      <c r="AU22" s="516">
        <v>26</v>
      </c>
      <c r="AV22" s="516"/>
      <c r="AW22" s="516"/>
      <c r="AX22" s="516"/>
      <c r="AY22" s="516"/>
      <c r="AZ22" s="516"/>
      <c r="BA22" s="516"/>
      <c r="BB22" s="516"/>
      <c r="BC22" s="516">
        <v>1316</v>
      </c>
      <c r="BD22" s="516"/>
      <c r="BE22" s="516"/>
      <c r="BF22" s="516"/>
      <c r="BG22" s="516"/>
      <c r="BH22" s="516"/>
      <c r="BI22" s="516"/>
      <c r="BJ22" s="516"/>
    </row>
    <row r="23" spans="2:62">
      <c r="F23" s="380">
        <v>21</v>
      </c>
      <c r="G23" s="380"/>
      <c r="H23" s="380"/>
      <c r="L23" s="6"/>
      <c r="M23" s="524">
        <v>78</v>
      </c>
      <c r="N23" s="516"/>
      <c r="O23" s="516"/>
      <c r="P23" s="516"/>
      <c r="Q23" s="516"/>
      <c r="R23" s="516"/>
      <c r="S23" s="516"/>
      <c r="T23" s="516"/>
      <c r="U23" s="516">
        <v>6577</v>
      </c>
      <c r="V23" s="516"/>
      <c r="W23" s="516"/>
      <c r="X23" s="516"/>
      <c r="Y23" s="516"/>
      <c r="Z23" s="516">
        <v>6525</v>
      </c>
      <c r="AA23" s="516"/>
      <c r="AB23" s="516"/>
      <c r="AC23" s="516"/>
      <c r="AD23" s="516">
        <v>1320</v>
      </c>
      <c r="AE23" s="516"/>
      <c r="AF23" s="516"/>
      <c r="AG23" s="516"/>
      <c r="AH23" s="516"/>
      <c r="AI23" s="516"/>
      <c r="AJ23" s="516"/>
      <c r="AK23" s="516"/>
      <c r="AL23" s="516">
        <v>136940</v>
      </c>
      <c r="AM23" s="516"/>
      <c r="AN23" s="516"/>
      <c r="AO23" s="516"/>
      <c r="AP23" s="516"/>
      <c r="AQ23" s="516"/>
      <c r="AR23" s="516"/>
      <c r="AS23" s="516"/>
      <c r="AT23" s="516"/>
      <c r="AU23" s="516">
        <v>32</v>
      </c>
      <c r="AV23" s="516"/>
      <c r="AW23" s="516"/>
      <c r="AX23" s="516"/>
      <c r="AY23" s="516"/>
      <c r="AZ23" s="516"/>
      <c r="BA23" s="516"/>
      <c r="BB23" s="516"/>
      <c r="BC23" s="516">
        <v>1358</v>
      </c>
      <c r="BD23" s="516"/>
      <c r="BE23" s="516"/>
      <c r="BF23" s="516"/>
      <c r="BG23" s="516"/>
      <c r="BH23" s="516"/>
      <c r="BI23" s="516"/>
      <c r="BJ23" s="516"/>
    </row>
    <row r="24" spans="2:62">
      <c r="F24" s="380">
        <v>22</v>
      </c>
      <c r="G24" s="380"/>
      <c r="H24" s="380"/>
      <c r="L24" s="6"/>
      <c r="M24" s="524">
        <v>73</v>
      </c>
      <c r="N24" s="516"/>
      <c r="O24" s="516"/>
      <c r="P24" s="516"/>
      <c r="Q24" s="516"/>
      <c r="R24" s="516"/>
      <c r="S24" s="516"/>
      <c r="T24" s="516"/>
      <c r="U24" s="516">
        <v>5879</v>
      </c>
      <c r="V24" s="516"/>
      <c r="W24" s="516"/>
      <c r="X24" s="516"/>
      <c r="Y24" s="516"/>
      <c r="Z24" s="516">
        <v>5879</v>
      </c>
      <c r="AA24" s="516"/>
      <c r="AB24" s="516"/>
      <c r="AC24" s="516"/>
      <c r="AD24" s="516">
        <v>1499</v>
      </c>
      <c r="AE24" s="516"/>
      <c r="AF24" s="516"/>
      <c r="AG24" s="516"/>
      <c r="AH24" s="516"/>
      <c r="AI24" s="516"/>
      <c r="AJ24" s="516"/>
      <c r="AK24" s="516"/>
      <c r="AL24" s="516">
        <v>165276</v>
      </c>
      <c r="AM24" s="516"/>
      <c r="AN24" s="516"/>
      <c r="AO24" s="516"/>
      <c r="AP24" s="516"/>
      <c r="AQ24" s="516"/>
      <c r="AR24" s="516"/>
      <c r="AS24" s="516"/>
      <c r="AT24" s="516"/>
      <c r="AU24" s="516">
        <v>22</v>
      </c>
      <c r="AV24" s="516"/>
      <c r="AW24" s="516"/>
      <c r="AX24" s="516"/>
      <c r="AY24" s="516"/>
      <c r="AZ24" s="516"/>
      <c r="BA24" s="516"/>
      <c r="BB24" s="516"/>
      <c r="BC24" s="516">
        <v>1213</v>
      </c>
      <c r="BD24" s="516"/>
      <c r="BE24" s="516"/>
      <c r="BF24" s="516"/>
      <c r="BG24" s="516"/>
      <c r="BH24" s="516"/>
      <c r="BI24" s="516"/>
      <c r="BJ24" s="516"/>
    </row>
    <row r="25" spans="2:62">
      <c r="F25" s="380">
        <v>23</v>
      </c>
      <c r="G25" s="380"/>
      <c r="H25" s="380"/>
      <c r="L25" s="6"/>
      <c r="M25" s="524">
        <v>56</v>
      </c>
      <c r="N25" s="516"/>
      <c r="O25" s="516"/>
      <c r="P25" s="516"/>
      <c r="Q25" s="516"/>
      <c r="R25" s="516"/>
      <c r="S25" s="516"/>
      <c r="T25" s="516"/>
      <c r="U25" s="516">
        <v>5347</v>
      </c>
      <c r="V25" s="516"/>
      <c r="W25" s="516"/>
      <c r="X25" s="516"/>
      <c r="Y25" s="516"/>
      <c r="Z25" s="516">
        <v>5347</v>
      </c>
      <c r="AA25" s="516"/>
      <c r="AB25" s="516"/>
      <c r="AC25" s="516"/>
      <c r="AD25" s="516">
        <v>1523</v>
      </c>
      <c r="AE25" s="516"/>
      <c r="AF25" s="516"/>
      <c r="AG25" s="516"/>
      <c r="AH25" s="516"/>
      <c r="AI25" s="516"/>
      <c r="AJ25" s="516"/>
      <c r="AK25" s="516"/>
      <c r="AL25" s="516">
        <v>176284</v>
      </c>
      <c r="AM25" s="516"/>
      <c r="AN25" s="516"/>
      <c r="AO25" s="516"/>
      <c r="AP25" s="516"/>
      <c r="AQ25" s="516"/>
      <c r="AR25" s="516"/>
      <c r="AS25" s="516"/>
      <c r="AT25" s="516"/>
      <c r="AU25" s="516">
        <v>49</v>
      </c>
      <c r="AV25" s="516"/>
      <c r="AW25" s="516"/>
      <c r="AX25" s="516"/>
      <c r="AY25" s="516"/>
      <c r="AZ25" s="516"/>
      <c r="BA25" s="516"/>
      <c r="BB25" s="516"/>
      <c r="BC25" s="516">
        <v>1187</v>
      </c>
      <c r="BD25" s="516"/>
      <c r="BE25" s="516"/>
      <c r="BF25" s="516"/>
      <c r="BG25" s="516"/>
      <c r="BH25" s="516"/>
      <c r="BI25" s="516"/>
      <c r="BJ25" s="516"/>
    </row>
    <row r="26" spans="2:62">
      <c r="F26" s="392">
        <v>24</v>
      </c>
      <c r="G26" s="392"/>
      <c r="H26" s="392"/>
      <c r="L26" s="6"/>
      <c r="M26" s="525">
        <v>48</v>
      </c>
      <c r="N26" s="523"/>
      <c r="O26" s="523"/>
      <c r="P26" s="523"/>
      <c r="Q26" s="523"/>
      <c r="R26" s="523"/>
      <c r="S26" s="523"/>
      <c r="T26" s="523"/>
      <c r="U26" s="523">
        <v>4342</v>
      </c>
      <c r="V26" s="523"/>
      <c r="W26" s="523"/>
      <c r="X26" s="523"/>
      <c r="Y26" s="523"/>
      <c r="Z26" s="523">
        <v>4333</v>
      </c>
      <c r="AA26" s="523"/>
      <c r="AB26" s="523"/>
      <c r="AC26" s="523"/>
      <c r="AD26" s="523">
        <v>1446</v>
      </c>
      <c r="AE26" s="523"/>
      <c r="AF26" s="523"/>
      <c r="AG26" s="523"/>
      <c r="AH26" s="523"/>
      <c r="AI26" s="523"/>
      <c r="AJ26" s="523"/>
      <c r="AK26" s="523"/>
      <c r="AL26" s="523">
        <v>172660</v>
      </c>
      <c r="AM26" s="523"/>
      <c r="AN26" s="523"/>
      <c r="AO26" s="523"/>
      <c r="AP26" s="523"/>
      <c r="AQ26" s="523"/>
      <c r="AR26" s="523"/>
      <c r="AS26" s="523"/>
      <c r="AT26" s="523"/>
      <c r="AU26" s="523">
        <v>45</v>
      </c>
      <c r="AV26" s="523"/>
      <c r="AW26" s="523"/>
      <c r="AX26" s="523"/>
      <c r="AY26" s="523"/>
      <c r="AZ26" s="523"/>
      <c r="BA26" s="523"/>
      <c r="BB26" s="523"/>
      <c r="BC26" s="523">
        <v>1161</v>
      </c>
      <c r="BD26" s="523"/>
      <c r="BE26" s="523"/>
      <c r="BF26" s="523"/>
      <c r="BG26" s="523"/>
      <c r="BH26" s="523"/>
      <c r="BI26" s="523"/>
      <c r="BJ26" s="523"/>
    </row>
    <row r="27" spans="2:6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51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</row>
    <row r="28" spans="2:62" ht="13.5" customHeight="1">
      <c r="C28" s="400" t="s">
        <v>8</v>
      </c>
      <c r="D28" s="400"/>
      <c r="E28" s="33" t="s">
        <v>148</v>
      </c>
      <c r="F28" s="377">
        <v>-1</v>
      </c>
      <c r="G28" s="377"/>
      <c r="H28" s="4" t="s">
        <v>44</v>
      </c>
    </row>
    <row r="29" spans="2:62" ht="12.95" customHeight="1">
      <c r="F29" s="378">
        <v>-2</v>
      </c>
      <c r="G29" s="378"/>
      <c r="H29" s="5" t="s">
        <v>45</v>
      </c>
    </row>
    <row r="30" spans="2:62" ht="12.95" customHeight="1">
      <c r="B30" s="404" t="s">
        <v>9</v>
      </c>
      <c r="C30" s="404"/>
      <c r="D30" s="404"/>
      <c r="E30" s="33" t="s">
        <v>148</v>
      </c>
      <c r="F30" s="2" t="s">
        <v>43</v>
      </c>
    </row>
    <row r="32" spans="2:62" ht="12.75" customHeight="1">
      <c r="B32" s="380" t="s">
        <v>46</v>
      </c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380"/>
      <c r="AF32" s="380"/>
      <c r="AG32" s="380"/>
      <c r="AH32" s="380"/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0"/>
      <c r="AW32" s="380"/>
      <c r="AX32" s="380"/>
      <c r="AY32" s="380"/>
      <c r="AZ32" s="380"/>
      <c r="BA32" s="380"/>
      <c r="BB32" s="380"/>
      <c r="BC32" s="380"/>
      <c r="BD32" s="380"/>
    </row>
    <row r="33" spans="2:63">
      <c r="AT33" s="20" t="s">
        <v>67</v>
      </c>
      <c r="BB33" s="20"/>
    </row>
    <row r="34" spans="2:63" ht="13.5" customHeight="1">
      <c r="B34" s="381" t="s">
        <v>1</v>
      </c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406" t="s">
        <v>47</v>
      </c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/>
      <c r="AB34" s="477"/>
      <c r="AC34" s="477"/>
      <c r="AD34" s="406" t="s">
        <v>143</v>
      </c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477"/>
      <c r="AP34" s="477"/>
      <c r="AQ34" s="477"/>
      <c r="AR34" s="477"/>
      <c r="AS34" s="477"/>
      <c r="AT34" s="477"/>
    </row>
    <row r="35" spans="2:63">
      <c r="B35" s="383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407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07"/>
      <c r="AE35" s="426"/>
      <c r="AF35" s="426"/>
      <c r="AG35" s="426"/>
      <c r="AH35" s="426"/>
      <c r="AI35" s="426"/>
      <c r="AJ35" s="426"/>
      <c r="AK35" s="426"/>
      <c r="AL35" s="426"/>
      <c r="AM35" s="426"/>
      <c r="AN35" s="426"/>
      <c r="AO35" s="426"/>
      <c r="AP35" s="426"/>
      <c r="AQ35" s="426"/>
      <c r="AR35" s="426"/>
      <c r="AS35" s="426"/>
      <c r="AT35" s="426"/>
    </row>
    <row r="36" spans="2:63">
      <c r="N36" s="21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63" ht="12.95" customHeight="1">
      <c r="C37" s="389" t="s">
        <v>7</v>
      </c>
      <c r="D37" s="389"/>
      <c r="E37" s="389"/>
      <c r="F37" s="389"/>
      <c r="G37" s="380">
        <v>20</v>
      </c>
      <c r="H37" s="380"/>
      <c r="I37" s="380"/>
      <c r="J37" s="389" t="s">
        <v>1</v>
      </c>
      <c r="K37" s="389"/>
      <c r="L37" s="389"/>
      <c r="M37" s="389"/>
      <c r="N37" s="22"/>
      <c r="Q37" s="409">
        <v>441</v>
      </c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36"/>
      <c r="AC37" s="36"/>
      <c r="AD37" s="34"/>
      <c r="AE37" s="34"/>
      <c r="AF37" s="391">
        <v>140</v>
      </c>
      <c r="AG37" s="391"/>
      <c r="AH37" s="391"/>
      <c r="AI37" s="391"/>
      <c r="AJ37" s="391"/>
      <c r="AK37" s="391"/>
      <c r="AL37" s="391"/>
      <c r="AM37" s="391"/>
      <c r="AN37" s="391"/>
      <c r="AO37" s="391"/>
      <c r="AP37" s="391"/>
      <c r="AQ37" s="391"/>
      <c r="AR37" s="391"/>
      <c r="AS37" s="39"/>
      <c r="AT37" s="39"/>
    </row>
    <row r="38" spans="2:63" ht="12.95" customHeight="1">
      <c r="G38" s="380">
        <v>21</v>
      </c>
      <c r="H38" s="380"/>
      <c r="I38" s="380"/>
      <c r="N38" s="22"/>
      <c r="Q38" s="409">
        <v>441</v>
      </c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36"/>
      <c r="AC38" s="36"/>
      <c r="AD38" s="34"/>
      <c r="AE38" s="34"/>
      <c r="AF38" s="391">
        <v>140</v>
      </c>
      <c r="AG38" s="391"/>
      <c r="AH38" s="391"/>
      <c r="AI38" s="391"/>
      <c r="AJ38" s="391"/>
      <c r="AK38" s="391"/>
      <c r="AL38" s="391"/>
      <c r="AM38" s="391"/>
      <c r="AN38" s="391"/>
      <c r="AO38" s="391"/>
      <c r="AP38" s="391"/>
      <c r="AQ38" s="391"/>
      <c r="AR38" s="391"/>
      <c r="AS38" s="39"/>
      <c r="AT38" s="39"/>
    </row>
    <row r="39" spans="2:63">
      <c r="G39" s="380">
        <v>22</v>
      </c>
      <c r="H39" s="380"/>
      <c r="I39" s="380"/>
      <c r="N39" s="22"/>
      <c r="Q39" s="409">
        <v>441</v>
      </c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36"/>
      <c r="AC39" s="36"/>
      <c r="AD39" s="34"/>
      <c r="AE39" s="34"/>
      <c r="AF39" s="391">
        <v>140</v>
      </c>
      <c r="AG39" s="391"/>
      <c r="AH39" s="391"/>
      <c r="AI39" s="391"/>
      <c r="AJ39" s="391"/>
      <c r="AK39" s="391"/>
      <c r="AL39" s="391"/>
      <c r="AM39" s="391"/>
      <c r="AN39" s="391"/>
      <c r="AO39" s="391"/>
      <c r="AP39" s="391"/>
      <c r="AQ39" s="391"/>
      <c r="AR39" s="391"/>
      <c r="AS39" s="39"/>
      <c r="AT39" s="39"/>
    </row>
    <row r="40" spans="2:63">
      <c r="G40" s="380">
        <v>23</v>
      </c>
      <c r="H40" s="380"/>
      <c r="I40" s="380"/>
      <c r="N40" s="22"/>
      <c r="Q40" s="409">
        <v>441</v>
      </c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36"/>
      <c r="AC40" s="36"/>
      <c r="AD40" s="34"/>
      <c r="AE40" s="34"/>
      <c r="AF40" s="391">
        <v>140</v>
      </c>
      <c r="AG40" s="391"/>
      <c r="AH40" s="391"/>
      <c r="AI40" s="391"/>
      <c r="AJ40" s="391"/>
      <c r="AK40" s="391"/>
      <c r="AL40" s="391"/>
      <c r="AM40" s="391"/>
      <c r="AN40" s="391"/>
      <c r="AO40" s="391"/>
      <c r="AP40" s="391"/>
      <c r="AQ40" s="391"/>
      <c r="AR40" s="391"/>
      <c r="AS40" s="39"/>
      <c r="AT40" s="39"/>
    </row>
    <row r="41" spans="2:63">
      <c r="G41" s="392">
        <v>24</v>
      </c>
      <c r="H41" s="392"/>
      <c r="I41" s="392"/>
      <c r="J41" s="245"/>
      <c r="K41" s="245"/>
      <c r="L41" s="245"/>
      <c r="M41" s="245"/>
      <c r="N41" s="276"/>
      <c r="O41" s="245"/>
      <c r="P41" s="245"/>
      <c r="Q41" s="541">
        <v>441</v>
      </c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273"/>
      <c r="AC41" s="273"/>
      <c r="AD41" s="277"/>
      <c r="AE41" s="277"/>
      <c r="AF41" s="396">
        <v>140</v>
      </c>
      <c r="AG41" s="396"/>
      <c r="AH41" s="396"/>
      <c r="AI41" s="396"/>
      <c r="AJ41" s="396"/>
      <c r="AK41" s="396"/>
      <c r="AL41" s="396"/>
      <c r="AM41" s="396"/>
      <c r="AN41" s="396"/>
      <c r="AO41" s="396"/>
      <c r="AP41" s="396"/>
      <c r="AQ41" s="396"/>
      <c r="AR41" s="396"/>
      <c r="AS41" s="35"/>
      <c r="AT41" s="35"/>
    </row>
    <row r="42" spans="2:6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2:63">
      <c r="B43" s="404" t="s">
        <v>9</v>
      </c>
      <c r="C43" s="404"/>
      <c r="D43" s="404"/>
      <c r="E43" s="33" t="s">
        <v>10</v>
      </c>
      <c r="F43" s="2" t="s">
        <v>48</v>
      </c>
    </row>
    <row r="45" spans="2:63" ht="12.75" customHeight="1">
      <c r="B45" s="380" t="s">
        <v>49</v>
      </c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80"/>
      <c r="AX45" s="380"/>
      <c r="AY45" s="380"/>
      <c r="AZ45" s="380"/>
      <c r="BA45" s="380"/>
      <c r="BB45" s="380"/>
      <c r="BC45" s="380"/>
      <c r="BD45" s="380"/>
      <c r="BE45" s="380"/>
      <c r="BF45" s="380"/>
      <c r="BG45" s="380"/>
      <c r="BH45" s="380"/>
      <c r="BI45" s="380"/>
      <c r="BJ45" s="380"/>
    </row>
    <row r="46" spans="2:6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6"/>
      <c r="BD46" s="6"/>
      <c r="BE46" s="6"/>
      <c r="BF46" s="6"/>
      <c r="BG46" s="6"/>
      <c r="BH46" s="6"/>
      <c r="BI46" s="6"/>
      <c r="BJ46" s="20" t="s">
        <v>67</v>
      </c>
      <c r="BK46" s="6"/>
    </row>
    <row r="47" spans="2:63" ht="13.5" customHeight="1">
      <c r="B47" s="381" t="s">
        <v>1</v>
      </c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500" t="s">
        <v>149</v>
      </c>
      <c r="N47" s="500"/>
      <c r="O47" s="500"/>
      <c r="P47" s="500"/>
      <c r="Q47" s="500"/>
      <c r="R47" s="500"/>
      <c r="S47" s="500"/>
      <c r="T47" s="500" t="s">
        <v>150</v>
      </c>
      <c r="U47" s="500"/>
      <c r="V47" s="500"/>
      <c r="W47" s="500"/>
      <c r="X47" s="500"/>
      <c r="Y47" s="500"/>
      <c r="Z47" s="500"/>
      <c r="AA47" s="500" t="s">
        <v>151</v>
      </c>
      <c r="AB47" s="500"/>
      <c r="AC47" s="500"/>
      <c r="AD47" s="500"/>
      <c r="AE47" s="500"/>
      <c r="AF47" s="500"/>
      <c r="AG47" s="500"/>
      <c r="AH47" s="500" t="s">
        <v>152</v>
      </c>
      <c r="AI47" s="500"/>
      <c r="AJ47" s="500"/>
      <c r="AK47" s="500"/>
      <c r="AL47" s="500"/>
      <c r="AM47" s="500"/>
      <c r="AN47" s="500"/>
      <c r="AO47" s="500" t="s">
        <v>153</v>
      </c>
      <c r="AP47" s="500"/>
      <c r="AQ47" s="500"/>
      <c r="AR47" s="500"/>
      <c r="AS47" s="500"/>
      <c r="AT47" s="500"/>
      <c r="AU47" s="500"/>
      <c r="AV47" s="500" t="s">
        <v>154</v>
      </c>
      <c r="AW47" s="500"/>
      <c r="AX47" s="500"/>
      <c r="AY47" s="500"/>
      <c r="AZ47" s="500"/>
      <c r="BA47" s="500"/>
      <c r="BB47" s="500"/>
      <c r="BC47" s="537" t="s">
        <v>155</v>
      </c>
      <c r="BD47" s="538"/>
      <c r="BE47" s="538"/>
      <c r="BF47" s="538"/>
      <c r="BG47" s="538"/>
      <c r="BH47" s="538"/>
      <c r="BI47" s="538"/>
      <c r="BJ47" s="538"/>
      <c r="BK47" s="6"/>
    </row>
    <row r="48" spans="2:63">
      <c r="B48" s="383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536"/>
      <c r="N48" s="536"/>
      <c r="O48" s="536"/>
      <c r="P48" s="536"/>
      <c r="Q48" s="536"/>
      <c r="R48" s="536"/>
      <c r="S48" s="536"/>
      <c r="T48" s="536"/>
      <c r="U48" s="536"/>
      <c r="V48" s="536"/>
      <c r="W48" s="536"/>
      <c r="X48" s="536"/>
      <c r="Y48" s="536"/>
      <c r="Z48" s="536"/>
      <c r="AA48" s="536"/>
      <c r="AB48" s="536"/>
      <c r="AC48" s="536"/>
      <c r="AD48" s="536"/>
      <c r="AE48" s="536"/>
      <c r="AF48" s="536"/>
      <c r="AG48" s="536"/>
      <c r="AH48" s="536"/>
      <c r="AI48" s="536"/>
      <c r="AJ48" s="536"/>
      <c r="AK48" s="536"/>
      <c r="AL48" s="536"/>
      <c r="AM48" s="536"/>
      <c r="AN48" s="536"/>
      <c r="AO48" s="536"/>
      <c r="AP48" s="536"/>
      <c r="AQ48" s="536"/>
      <c r="AR48" s="536"/>
      <c r="AS48" s="536"/>
      <c r="AT48" s="536"/>
      <c r="AU48" s="536"/>
      <c r="AV48" s="536"/>
      <c r="AW48" s="536"/>
      <c r="AX48" s="536"/>
      <c r="AY48" s="536"/>
      <c r="AZ48" s="536"/>
      <c r="BA48" s="536"/>
      <c r="BB48" s="536"/>
      <c r="BC48" s="539"/>
      <c r="BD48" s="540"/>
      <c r="BE48" s="540"/>
      <c r="BF48" s="540"/>
      <c r="BG48" s="540"/>
      <c r="BH48" s="540"/>
      <c r="BI48" s="540"/>
      <c r="BJ48" s="540"/>
      <c r="BK48" s="6"/>
    </row>
    <row r="49" spans="2:63">
      <c r="L49" s="6"/>
      <c r="M49" s="49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6"/>
      <c r="BK49" s="6"/>
    </row>
    <row r="50" spans="2:63">
      <c r="C50" s="389" t="s">
        <v>7</v>
      </c>
      <c r="D50" s="389"/>
      <c r="E50" s="389"/>
      <c r="F50" s="380">
        <v>20</v>
      </c>
      <c r="G50" s="380"/>
      <c r="H50" s="380"/>
      <c r="I50" s="389" t="s">
        <v>1</v>
      </c>
      <c r="J50" s="389"/>
      <c r="K50" s="389"/>
      <c r="L50" s="6"/>
      <c r="M50" s="421">
        <v>4432</v>
      </c>
      <c r="N50" s="409"/>
      <c r="O50" s="409"/>
      <c r="P50" s="409"/>
      <c r="Q50" s="409"/>
      <c r="R50" s="409"/>
      <c r="S50" s="409"/>
      <c r="T50" s="409">
        <v>8116</v>
      </c>
      <c r="U50" s="409"/>
      <c r="V50" s="409"/>
      <c r="W50" s="409"/>
      <c r="X50" s="409"/>
      <c r="Y50" s="409"/>
      <c r="Z50" s="409"/>
      <c r="AA50" s="409">
        <v>856</v>
      </c>
      <c r="AB50" s="409"/>
      <c r="AC50" s="409"/>
      <c r="AD50" s="409"/>
      <c r="AE50" s="409"/>
      <c r="AF50" s="409"/>
      <c r="AG50" s="409"/>
      <c r="AH50" s="409">
        <v>706</v>
      </c>
      <c r="AI50" s="409"/>
      <c r="AJ50" s="409"/>
      <c r="AK50" s="409"/>
      <c r="AL50" s="409"/>
      <c r="AM50" s="409"/>
      <c r="AN50" s="409"/>
      <c r="AO50" s="409">
        <v>3159</v>
      </c>
      <c r="AP50" s="409"/>
      <c r="AQ50" s="409"/>
      <c r="AR50" s="409"/>
      <c r="AS50" s="409"/>
      <c r="AT50" s="409"/>
      <c r="AU50" s="409"/>
      <c r="AV50" s="409">
        <v>36186</v>
      </c>
      <c r="AW50" s="409"/>
      <c r="AX50" s="409"/>
      <c r="AY50" s="409"/>
      <c r="AZ50" s="409"/>
      <c r="BA50" s="409"/>
      <c r="BB50" s="409"/>
      <c r="BC50" s="409">
        <v>3830</v>
      </c>
      <c r="BD50" s="409"/>
      <c r="BE50" s="409"/>
      <c r="BF50" s="409"/>
      <c r="BG50" s="409"/>
      <c r="BH50" s="409"/>
      <c r="BI50" s="409"/>
      <c r="BJ50" s="409"/>
      <c r="BK50" s="6"/>
    </row>
    <row r="51" spans="2:63">
      <c r="F51" s="380">
        <v>21</v>
      </c>
      <c r="G51" s="380"/>
      <c r="H51" s="380"/>
      <c r="L51" s="6"/>
      <c r="M51" s="421">
        <v>4741</v>
      </c>
      <c r="N51" s="409"/>
      <c r="O51" s="409"/>
      <c r="P51" s="409"/>
      <c r="Q51" s="409"/>
      <c r="R51" s="409"/>
      <c r="S51" s="409"/>
      <c r="T51" s="409">
        <v>7712</v>
      </c>
      <c r="U51" s="409"/>
      <c r="V51" s="409"/>
      <c r="W51" s="409"/>
      <c r="X51" s="409"/>
      <c r="Y51" s="409"/>
      <c r="Z51" s="409"/>
      <c r="AA51" s="409">
        <v>823</v>
      </c>
      <c r="AB51" s="409"/>
      <c r="AC51" s="409"/>
      <c r="AD51" s="409"/>
      <c r="AE51" s="409"/>
      <c r="AF51" s="409"/>
      <c r="AG51" s="409"/>
      <c r="AH51" s="409">
        <v>723</v>
      </c>
      <c r="AI51" s="409"/>
      <c r="AJ51" s="409"/>
      <c r="AK51" s="409"/>
      <c r="AL51" s="409"/>
      <c r="AM51" s="409"/>
      <c r="AN51" s="409"/>
      <c r="AO51" s="409">
        <v>2978</v>
      </c>
      <c r="AP51" s="409"/>
      <c r="AQ51" s="409"/>
      <c r="AR51" s="409"/>
      <c r="AS51" s="409"/>
      <c r="AT51" s="409"/>
      <c r="AU51" s="409"/>
      <c r="AV51" s="409">
        <v>39915</v>
      </c>
      <c r="AW51" s="409"/>
      <c r="AX51" s="409"/>
      <c r="AY51" s="409"/>
      <c r="AZ51" s="409"/>
      <c r="BA51" s="409"/>
      <c r="BB51" s="409"/>
      <c r="BC51" s="409">
        <v>4082</v>
      </c>
      <c r="BD51" s="409"/>
      <c r="BE51" s="409"/>
      <c r="BF51" s="409"/>
      <c r="BG51" s="409"/>
      <c r="BH51" s="409"/>
      <c r="BI51" s="409"/>
      <c r="BJ51" s="409"/>
      <c r="BK51" s="6"/>
    </row>
    <row r="52" spans="2:63">
      <c r="F52" s="380">
        <v>22</v>
      </c>
      <c r="G52" s="380"/>
      <c r="H52" s="380"/>
      <c r="L52" s="6"/>
      <c r="M52" s="421">
        <v>4338</v>
      </c>
      <c r="N52" s="409"/>
      <c r="O52" s="409"/>
      <c r="P52" s="409"/>
      <c r="Q52" s="409"/>
      <c r="R52" s="409"/>
      <c r="S52" s="409"/>
      <c r="T52" s="409">
        <v>7140</v>
      </c>
      <c r="U52" s="409"/>
      <c r="V52" s="409"/>
      <c r="W52" s="409"/>
      <c r="X52" s="409"/>
      <c r="Y52" s="409"/>
      <c r="Z52" s="409"/>
      <c r="AA52" s="409">
        <v>785</v>
      </c>
      <c r="AB52" s="409"/>
      <c r="AC52" s="409"/>
      <c r="AD52" s="409"/>
      <c r="AE52" s="409"/>
      <c r="AF52" s="409"/>
      <c r="AG52" s="409"/>
      <c r="AH52" s="409">
        <v>662</v>
      </c>
      <c r="AI52" s="409"/>
      <c r="AJ52" s="409"/>
      <c r="AK52" s="409"/>
      <c r="AL52" s="409"/>
      <c r="AM52" s="409"/>
      <c r="AN52" s="409"/>
      <c r="AO52" s="409">
        <v>5563</v>
      </c>
      <c r="AP52" s="409"/>
      <c r="AQ52" s="409"/>
      <c r="AR52" s="409"/>
      <c r="AS52" s="409"/>
      <c r="AT52" s="409"/>
      <c r="AU52" s="409"/>
      <c r="AV52" s="409">
        <v>44058</v>
      </c>
      <c r="AW52" s="409"/>
      <c r="AX52" s="409"/>
      <c r="AY52" s="409"/>
      <c r="AZ52" s="409"/>
      <c r="BA52" s="409"/>
      <c r="BB52" s="409"/>
      <c r="BC52" s="409">
        <v>4475</v>
      </c>
      <c r="BD52" s="409"/>
      <c r="BE52" s="409"/>
      <c r="BF52" s="409"/>
      <c r="BG52" s="409"/>
      <c r="BH52" s="409"/>
      <c r="BI52" s="409"/>
      <c r="BJ52" s="409"/>
      <c r="BK52" s="6"/>
    </row>
    <row r="53" spans="2:63">
      <c r="F53" s="380">
        <v>23</v>
      </c>
      <c r="G53" s="380"/>
      <c r="H53" s="380"/>
      <c r="L53" s="6"/>
      <c r="M53" s="421">
        <v>4261</v>
      </c>
      <c r="N53" s="409"/>
      <c r="O53" s="409"/>
      <c r="P53" s="409"/>
      <c r="Q53" s="409"/>
      <c r="R53" s="409"/>
      <c r="S53" s="409"/>
      <c r="T53" s="409">
        <v>6935</v>
      </c>
      <c r="U53" s="409"/>
      <c r="V53" s="409"/>
      <c r="W53" s="409"/>
      <c r="X53" s="409"/>
      <c r="Y53" s="409"/>
      <c r="Z53" s="409"/>
      <c r="AA53" s="409">
        <v>721</v>
      </c>
      <c r="AB53" s="409"/>
      <c r="AC53" s="409"/>
      <c r="AD53" s="409"/>
      <c r="AE53" s="409"/>
      <c r="AF53" s="409"/>
      <c r="AG53" s="409"/>
      <c r="AH53" s="409">
        <v>653</v>
      </c>
      <c r="AI53" s="409"/>
      <c r="AJ53" s="409"/>
      <c r="AK53" s="409"/>
      <c r="AL53" s="409"/>
      <c r="AM53" s="409"/>
      <c r="AN53" s="409"/>
      <c r="AO53" s="409">
        <v>5815</v>
      </c>
      <c r="AP53" s="409"/>
      <c r="AQ53" s="409"/>
      <c r="AR53" s="409"/>
      <c r="AS53" s="409"/>
      <c r="AT53" s="409"/>
      <c r="AU53" s="409"/>
      <c r="AV53" s="409">
        <v>48034</v>
      </c>
      <c r="AW53" s="409"/>
      <c r="AX53" s="409"/>
      <c r="AY53" s="409"/>
      <c r="AZ53" s="409"/>
      <c r="BA53" s="409"/>
      <c r="BB53" s="409"/>
      <c r="BC53" s="409">
        <v>4599</v>
      </c>
      <c r="BD53" s="409"/>
      <c r="BE53" s="409"/>
      <c r="BF53" s="409"/>
      <c r="BG53" s="409"/>
      <c r="BH53" s="409"/>
      <c r="BI53" s="409"/>
      <c r="BJ53" s="409"/>
      <c r="BK53" s="6"/>
    </row>
    <row r="54" spans="2:63">
      <c r="F54" s="392">
        <v>24</v>
      </c>
      <c r="G54" s="392"/>
      <c r="H54" s="392"/>
      <c r="I54" s="245"/>
      <c r="J54" s="245"/>
      <c r="K54" s="245"/>
      <c r="L54" s="278"/>
      <c r="M54" s="408">
        <v>4772</v>
      </c>
      <c r="N54" s="399"/>
      <c r="O54" s="399"/>
      <c r="P54" s="399"/>
      <c r="Q54" s="399"/>
      <c r="R54" s="399"/>
      <c r="S54" s="399"/>
      <c r="T54" s="399">
        <v>6751</v>
      </c>
      <c r="U54" s="399"/>
      <c r="V54" s="399"/>
      <c r="W54" s="399"/>
      <c r="X54" s="399"/>
      <c r="Y54" s="399"/>
      <c r="Z54" s="399"/>
      <c r="AA54" s="399">
        <v>735</v>
      </c>
      <c r="AB54" s="399"/>
      <c r="AC54" s="399"/>
      <c r="AD54" s="399"/>
      <c r="AE54" s="399"/>
      <c r="AF54" s="399"/>
      <c r="AG54" s="399"/>
      <c r="AH54" s="399">
        <v>623</v>
      </c>
      <c r="AI54" s="399"/>
      <c r="AJ54" s="399"/>
      <c r="AK54" s="399"/>
      <c r="AL54" s="399"/>
      <c r="AM54" s="399"/>
      <c r="AN54" s="399"/>
      <c r="AO54" s="399">
        <v>5798</v>
      </c>
      <c r="AP54" s="399"/>
      <c r="AQ54" s="399"/>
      <c r="AR54" s="399"/>
      <c r="AS54" s="399"/>
      <c r="AT54" s="399"/>
      <c r="AU54" s="399"/>
      <c r="AV54" s="399">
        <v>51531</v>
      </c>
      <c r="AW54" s="399"/>
      <c r="AX54" s="399"/>
      <c r="AY54" s="399"/>
      <c r="AZ54" s="399"/>
      <c r="BA54" s="399"/>
      <c r="BB54" s="399"/>
      <c r="BC54" s="399">
        <v>4687</v>
      </c>
      <c r="BD54" s="399"/>
      <c r="BE54" s="399"/>
      <c r="BF54" s="399"/>
      <c r="BG54" s="399"/>
      <c r="BH54" s="399"/>
      <c r="BI54" s="399"/>
      <c r="BJ54" s="399"/>
      <c r="BK54" s="6"/>
    </row>
    <row r="55" spans="2:6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51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1"/>
      <c r="BK55" s="6"/>
    </row>
    <row r="56" spans="2:63">
      <c r="B56" s="410" t="s">
        <v>9</v>
      </c>
      <c r="C56" s="410"/>
      <c r="D56" s="410"/>
      <c r="E56" s="33" t="s">
        <v>156</v>
      </c>
      <c r="F56" s="2" t="s">
        <v>50</v>
      </c>
    </row>
    <row r="58" spans="2:63">
      <c r="B58" s="380" t="s">
        <v>51</v>
      </c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0"/>
      <c r="T58" s="380"/>
      <c r="U58" s="380"/>
      <c r="V58" s="380"/>
      <c r="W58" s="380"/>
      <c r="X58" s="380"/>
      <c r="Y58" s="380"/>
      <c r="Z58" s="380"/>
      <c r="AA58" s="380"/>
      <c r="AB58" s="380"/>
      <c r="AC58" s="380"/>
      <c r="AD58" s="380"/>
      <c r="AE58" s="380"/>
      <c r="AF58" s="380"/>
      <c r="AG58" s="380"/>
      <c r="AH58" s="380"/>
      <c r="AI58" s="380"/>
      <c r="AJ58" s="380"/>
      <c r="AK58" s="380"/>
      <c r="AL58" s="380"/>
      <c r="AM58" s="380"/>
      <c r="AN58" s="380"/>
      <c r="AO58" s="380"/>
      <c r="AP58" s="380"/>
      <c r="AQ58" s="380"/>
      <c r="AR58" s="380"/>
      <c r="AS58" s="380"/>
      <c r="AT58" s="380"/>
      <c r="AU58" s="380"/>
      <c r="AV58" s="380"/>
      <c r="AW58" s="380"/>
      <c r="AX58" s="380"/>
      <c r="AY58" s="380"/>
      <c r="AZ58" s="380"/>
      <c r="BA58" s="380"/>
      <c r="BB58" s="380"/>
      <c r="BC58" s="380"/>
      <c r="BD58" s="380"/>
      <c r="BE58" s="380"/>
      <c r="BF58" s="380"/>
      <c r="BG58" s="380"/>
      <c r="BH58" s="380"/>
      <c r="BI58" s="380"/>
      <c r="BJ58" s="380"/>
    </row>
    <row r="59" spans="2:6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20" t="s">
        <v>67</v>
      </c>
      <c r="BB59" s="6"/>
      <c r="BC59" s="6"/>
      <c r="BD59" s="6"/>
      <c r="BE59" s="6"/>
      <c r="BF59" s="6"/>
      <c r="BG59" s="6"/>
      <c r="BH59" s="6"/>
    </row>
    <row r="60" spans="2:63">
      <c r="B60" s="381" t="s">
        <v>1</v>
      </c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 t="s">
        <v>52</v>
      </c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82"/>
      <c r="AB60" s="382" t="s">
        <v>53</v>
      </c>
      <c r="AC60" s="382"/>
      <c r="AD60" s="382"/>
      <c r="AE60" s="382"/>
      <c r="AF60" s="382"/>
      <c r="AG60" s="382"/>
      <c r="AH60" s="382"/>
      <c r="AI60" s="382"/>
      <c r="AJ60" s="382"/>
      <c r="AK60" s="382"/>
      <c r="AL60" s="382"/>
      <c r="AM60" s="382"/>
      <c r="AN60" s="382"/>
      <c r="AO60" s="382" t="s">
        <v>54</v>
      </c>
      <c r="AP60" s="382"/>
      <c r="AQ60" s="382"/>
      <c r="AR60" s="382"/>
      <c r="AS60" s="382"/>
      <c r="AT60" s="382"/>
      <c r="AU60" s="382"/>
      <c r="AV60" s="382"/>
      <c r="AW60" s="382"/>
      <c r="AX60" s="382"/>
      <c r="AY60" s="382"/>
      <c r="AZ60" s="382"/>
      <c r="BA60" s="406"/>
      <c r="BB60" s="6"/>
      <c r="BC60" s="6"/>
      <c r="BD60" s="6"/>
      <c r="BE60" s="6"/>
      <c r="BF60" s="6"/>
      <c r="BG60" s="6"/>
      <c r="BH60" s="6"/>
    </row>
    <row r="61" spans="2:63">
      <c r="B61" s="383"/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84"/>
      <c r="AI61" s="384"/>
      <c r="AJ61" s="384"/>
      <c r="AK61" s="384"/>
      <c r="AL61" s="384"/>
      <c r="AM61" s="384"/>
      <c r="AN61" s="384"/>
      <c r="AO61" s="384"/>
      <c r="AP61" s="384"/>
      <c r="AQ61" s="384"/>
      <c r="AR61" s="384"/>
      <c r="AS61" s="384"/>
      <c r="AT61" s="384"/>
      <c r="AU61" s="384"/>
      <c r="AV61" s="384"/>
      <c r="AW61" s="384"/>
      <c r="AX61" s="384"/>
      <c r="AY61" s="384"/>
      <c r="AZ61" s="384"/>
      <c r="BA61" s="407"/>
      <c r="BB61" s="6"/>
      <c r="BC61" s="6"/>
      <c r="BD61" s="6"/>
      <c r="BE61" s="6"/>
      <c r="BF61" s="6"/>
      <c r="BG61" s="6"/>
      <c r="BH61" s="6"/>
    </row>
    <row r="62" spans="2:63">
      <c r="N62" s="21"/>
      <c r="BB62" s="6"/>
      <c r="BC62" s="6"/>
      <c r="BD62" s="6"/>
      <c r="BE62" s="6"/>
      <c r="BF62" s="6"/>
      <c r="BG62" s="6"/>
      <c r="BH62" s="6"/>
    </row>
    <row r="63" spans="2:63">
      <c r="C63" s="389" t="s">
        <v>7</v>
      </c>
      <c r="D63" s="389"/>
      <c r="E63" s="389"/>
      <c r="F63" s="389"/>
      <c r="G63" s="380">
        <v>20</v>
      </c>
      <c r="H63" s="380"/>
      <c r="I63" s="380"/>
      <c r="J63" s="389" t="s">
        <v>1</v>
      </c>
      <c r="K63" s="389"/>
      <c r="L63" s="389"/>
      <c r="M63" s="389"/>
      <c r="N63" s="22"/>
      <c r="O63" s="409">
        <v>139</v>
      </c>
      <c r="P63" s="391"/>
      <c r="Q63" s="391"/>
      <c r="R63" s="391"/>
      <c r="S63" s="391"/>
      <c r="T63" s="391"/>
      <c r="U63" s="391"/>
      <c r="V63" s="391"/>
      <c r="W63" s="391"/>
      <c r="X63" s="391"/>
      <c r="Y63" s="391"/>
      <c r="Z63" s="391"/>
      <c r="AA63" s="391"/>
      <c r="AB63" s="391">
        <v>23</v>
      </c>
      <c r="AC63" s="391"/>
      <c r="AD63" s="391"/>
      <c r="AE63" s="391"/>
      <c r="AF63" s="391"/>
      <c r="AG63" s="391"/>
      <c r="AH63" s="391"/>
      <c r="AI63" s="391"/>
      <c r="AJ63" s="391"/>
      <c r="AK63" s="391"/>
      <c r="AL63" s="391"/>
      <c r="AM63" s="391"/>
      <c r="AN63" s="391"/>
      <c r="AO63" s="391">
        <v>6</v>
      </c>
      <c r="AP63" s="391"/>
      <c r="AQ63" s="391"/>
      <c r="AR63" s="391"/>
      <c r="AS63" s="391"/>
      <c r="AT63" s="391"/>
      <c r="AU63" s="391"/>
      <c r="AV63" s="391"/>
      <c r="AW63" s="391"/>
      <c r="AX63" s="391"/>
      <c r="AY63" s="391"/>
      <c r="AZ63" s="391"/>
      <c r="BA63" s="391"/>
    </row>
    <row r="64" spans="2:63">
      <c r="G64" s="380">
        <v>21</v>
      </c>
      <c r="H64" s="380"/>
      <c r="I64" s="380"/>
      <c r="N64" s="22"/>
      <c r="O64" s="409">
        <v>140</v>
      </c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>
        <v>24</v>
      </c>
      <c r="AC64" s="391"/>
      <c r="AD64" s="391"/>
      <c r="AE64" s="391"/>
      <c r="AF64" s="391"/>
      <c r="AG64" s="391"/>
      <c r="AH64" s="391"/>
      <c r="AI64" s="391"/>
      <c r="AJ64" s="391"/>
      <c r="AK64" s="391"/>
      <c r="AL64" s="391"/>
      <c r="AM64" s="391"/>
      <c r="AN64" s="391"/>
      <c r="AO64" s="391">
        <v>6</v>
      </c>
      <c r="AP64" s="391"/>
      <c r="AQ64" s="391"/>
      <c r="AR64" s="391"/>
      <c r="AS64" s="391"/>
      <c r="AT64" s="391"/>
      <c r="AU64" s="391"/>
      <c r="AV64" s="391"/>
      <c r="AW64" s="391"/>
      <c r="AX64" s="391"/>
      <c r="AY64" s="391"/>
      <c r="AZ64" s="391"/>
      <c r="BA64" s="391"/>
    </row>
    <row r="65" spans="2:53">
      <c r="G65" s="380">
        <v>22</v>
      </c>
      <c r="H65" s="380"/>
      <c r="I65" s="380"/>
      <c r="N65" s="22"/>
      <c r="O65" s="409">
        <v>139</v>
      </c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391"/>
      <c r="AA65" s="391"/>
      <c r="AB65" s="391">
        <v>24</v>
      </c>
      <c r="AC65" s="391"/>
      <c r="AD65" s="391"/>
      <c r="AE65" s="391"/>
      <c r="AF65" s="391"/>
      <c r="AG65" s="391"/>
      <c r="AH65" s="391"/>
      <c r="AI65" s="391"/>
      <c r="AJ65" s="391"/>
      <c r="AK65" s="391"/>
      <c r="AL65" s="391"/>
      <c r="AM65" s="391"/>
      <c r="AN65" s="391"/>
      <c r="AO65" s="391">
        <v>5</v>
      </c>
      <c r="AP65" s="391"/>
      <c r="AQ65" s="391"/>
      <c r="AR65" s="391"/>
      <c r="AS65" s="391"/>
      <c r="AT65" s="391"/>
      <c r="AU65" s="391"/>
      <c r="AV65" s="391"/>
      <c r="AW65" s="391"/>
      <c r="AX65" s="391"/>
      <c r="AY65" s="391"/>
      <c r="AZ65" s="391"/>
      <c r="BA65" s="391"/>
    </row>
    <row r="66" spans="2:53">
      <c r="G66" s="380">
        <v>23</v>
      </c>
      <c r="H66" s="380"/>
      <c r="I66" s="380"/>
      <c r="N66" s="22"/>
      <c r="O66" s="409">
        <v>139</v>
      </c>
      <c r="P66" s="391"/>
      <c r="Q66" s="391"/>
      <c r="R66" s="391"/>
      <c r="S66" s="391"/>
      <c r="T66" s="391"/>
      <c r="U66" s="391"/>
      <c r="V66" s="391"/>
      <c r="W66" s="391"/>
      <c r="X66" s="391"/>
      <c r="Y66" s="391"/>
      <c r="Z66" s="391"/>
      <c r="AA66" s="391"/>
      <c r="AB66" s="391">
        <v>24</v>
      </c>
      <c r="AC66" s="391"/>
      <c r="AD66" s="391"/>
      <c r="AE66" s="391"/>
      <c r="AF66" s="391"/>
      <c r="AG66" s="391"/>
      <c r="AH66" s="391"/>
      <c r="AI66" s="391"/>
      <c r="AJ66" s="391"/>
      <c r="AK66" s="391"/>
      <c r="AL66" s="391"/>
      <c r="AM66" s="391"/>
      <c r="AN66" s="391"/>
      <c r="AO66" s="391">
        <v>5</v>
      </c>
      <c r="AP66" s="391"/>
      <c r="AQ66" s="391"/>
      <c r="AR66" s="391"/>
      <c r="AS66" s="391"/>
      <c r="AT66" s="391"/>
      <c r="AU66" s="391"/>
      <c r="AV66" s="391"/>
      <c r="AW66" s="391"/>
      <c r="AX66" s="391"/>
      <c r="AY66" s="391"/>
      <c r="AZ66" s="391"/>
      <c r="BA66" s="391"/>
    </row>
    <row r="67" spans="2:53">
      <c r="G67" s="392">
        <v>24</v>
      </c>
      <c r="H67" s="392"/>
      <c r="I67" s="392"/>
      <c r="N67" s="22"/>
      <c r="O67" s="542">
        <v>138</v>
      </c>
      <c r="P67" s="541"/>
      <c r="Q67" s="541"/>
      <c r="R67" s="541"/>
      <c r="S67" s="541"/>
      <c r="T67" s="541"/>
      <c r="U67" s="541"/>
      <c r="V67" s="541"/>
      <c r="W67" s="541"/>
      <c r="X67" s="541"/>
      <c r="Y67" s="541"/>
      <c r="Z67" s="541"/>
      <c r="AA67" s="541"/>
      <c r="AB67" s="396">
        <v>26</v>
      </c>
      <c r="AC67" s="396"/>
      <c r="AD67" s="396"/>
      <c r="AE67" s="396"/>
      <c r="AF67" s="396"/>
      <c r="AG67" s="396"/>
      <c r="AH67" s="396"/>
      <c r="AI67" s="396"/>
      <c r="AJ67" s="396"/>
      <c r="AK67" s="396"/>
      <c r="AL67" s="396"/>
      <c r="AM67" s="396"/>
      <c r="AN67" s="396"/>
      <c r="AO67" s="396">
        <v>5</v>
      </c>
      <c r="AP67" s="396"/>
      <c r="AQ67" s="396"/>
      <c r="AR67" s="396"/>
      <c r="AS67" s="396"/>
      <c r="AT67" s="396"/>
      <c r="AU67" s="396"/>
      <c r="AV67" s="396"/>
      <c r="AW67" s="396"/>
      <c r="AX67" s="396"/>
      <c r="AY67" s="396"/>
      <c r="AZ67" s="396"/>
      <c r="BA67" s="396"/>
    </row>
    <row r="68" spans="2:5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2:53">
      <c r="B69" s="410" t="s">
        <v>9</v>
      </c>
      <c r="C69" s="410"/>
      <c r="D69" s="410"/>
      <c r="E69" s="33" t="s">
        <v>10</v>
      </c>
      <c r="F69" s="2" t="s">
        <v>55</v>
      </c>
    </row>
  </sheetData>
  <mergeCells count="201">
    <mergeCell ref="B58:BJ58"/>
    <mergeCell ref="B60:N61"/>
    <mergeCell ref="O60:AA61"/>
    <mergeCell ref="AB60:AN61"/>
    <mergeCell ref="AO60:BA61"/>
    <mergeCell ref="B43:D43"/>
    <mergeCell ref="AV54:BB54"/>
    <mergeCell ref="BC54:BJ54"/>
    <mergeCell ref="T54:Z54"/>
    <mergeCell ref="AA54:AG54"/>
    <mergeCell ref="AV52:BB52"/>
    <mergeCell ref="F53:H53"/>
    <mergeCell ref="M53:S53"/>
    <mergeCell ref="T53:Z53"/>
    <mergeCell ref="AA53:AG53"/>
    <mergeCell ref="AH53:AN53"/>
    <mergeCell ref="AO53:AU53"/>
    <mergeCell ref="AV53:BB53"/>
    <mergeCell ref="AH54:AN54"/>
    <mergeCell ref="AO54:AU54"/>
    <mergeCell ref="C50:E50"/>
    <mergeCell ref="AA50:AG50"/>
    <mergeCell ref="AV51:BB51"/>
    <mergeCell ref="AH50:AN50"/>
    <mergeCell ref="G64:I64"/>
    <mergeCell ref="O64:AA64"/>
    <mergeCell ref="AB64:AN64"/>
    <mergeCell ref="AO64:BA64"/>
    <mergeCell ref="G65:I65"/>
    <mergeCell ref="O65:AA65"/>
    <mergeCell ref="AB65:AN65"/>
    <mergeCell ref="AO65:BA65"/>
    <mergeCell ref="C63:F63"/>
    <mergeCell ref="G63:I63"/>
    <mergeCell ref="J63:M63"/>
    <mergeCell ref="O63:AA63"/>
    <mergeCell ref="AB63:AN63"/>
    <mergeCell ref="AO63:BA63"/>
    <mergeCell ref="B69:D69"/>
    <mergeCell ref="G66:I66"/>
    <mergeCell ref="O66:AA66"/>
    <mergeCell ref="AB66:AN66"/>
    <mergeCell ref="AO66:BA66"/>
    <mergeCell ref="G67:I67"/>
    <mergeCell ref="O67:AA67"/>
    <mergeCell ref="AB67:AN67"/>
    <mergeCell ref="AO67:BA67"/>
    <mergeCell ref="B56:D56"/>
    <mergeCell ref="BC50:BJ50"/>
    <mergeCell ref="BC51:BJ51"/>
    <mergeCell ref="BC52:BJ52"/>
    <mergeCell ref="BC53:BJ53"/>
    <mergeCell ref="G40:I40"/>
    <mergeCell ref="F54:H54"/>
    <mergeCell ref="M54:S54"/>
    <mergeCell ref="B32:BD32"/>
    <mergeCell ref="C37:F37"/>
    <mergeCell ref="G37:I37"/>
    <mergeCell ref="J37:M37"/>
    <mergeCell ref="AV50:BB50"/>
    <mergeCell ref="F52:H52"/>
    <mergeCell ref="M52:S52"/>
    <mergeCell ref="T52:Z52"/>
    <mergeCell ref="AA52:AG52"/>
    <mergeCell ref="AH52:AN52"/>
    <mergeCell ref="AO52:AU52"/>
    <mergeCell ref="F51:H51"/>
    <mergeCell ref="M51:S51"/>
    <mergeCell ref="AO50:AU50"/>
    <mergeCell ref="F50:H50"/>
    <mergeCell ref="I50:K50"/>
    <mergeCell ref="M50:S50"/>
    <mergeCell ref="T50:Z50"/>
    <mergeCell ref="T51:Z51"/>
    <mergeCell ref="AA51:AG51"/>
    <mergeCell ref="AH51:AN51"/>
    <mergeCell ref="AO51:AU51"/>
    <mergeCell ref="U23:AC23"/>
    <mergeCell ref="AD23:AK23"/>
    <mergeCell ref="AL23:AT23"/>
    <mergeCell ref="AU23:BB23"/>
    <mergeCell ref="AU25:BB25"/>
    <mergeCell ref="AD26:AK26"/>
    <mergeCell ref="AL26:AT26"/>
    <mergeCell ref="AU26:BB26"/>
    <mergeCell ref="F22:H22"/>
    <mergeCell ref="I22:K22"/>
    <mergeCell ref="F25:H25"/>
    <mergeCell ref="AV47:BB48"/>
    <mergeCell ref="B34:N35"/>
    <mergeCell ref="G41:I41"/>
    <mergeCell ref="G39:I39"/>
    <mergeCell ref="AF38:AR38"/>
    <mergeCell ref="AF39:AR39"/>
    <mergeCell ref="AF37:AR37"/>
    <mergeCell ref="O34:AC35"/>
    <mergeCell ref="Q37:AA37"/>
    <mergeCell ref="Q38:AA38"/>
    <mergeCell ref="Q39:AA39"/>
    <mergeCell ref="Q40:AA40"/>
    <mergeCell ref="Q41:AA41"/>
    <mergeCell ref="F24:H24"/>
    <mergeCell ref="M22:T22"/>
    <mergeCell ref="U22:AC22"/>
    <mergeCell ref="AD22:AK22"/>
    <mergeCell ref="AL22:AT22"/>
    <mergeCell ref="AU22:BB22"/>
    <mergeCell ref="M26:T26"/>
    <mergeCell ref="U26:AC26"/>
    <mergeCell ref="A1:S2"/>
    <mergeCell ref="C28:D28"/>
    <mergeCell ref="F28:G28"/>
    <mergeCell ref="B6:BJ6"/>
    <mergeCell ref="C22:E22"/>
    <mergeCell ref="B5:BJ5"/>
    <mergeCell ref="B18:L20"/>
    <mergeCell ref="B47:L48"/>
    <mergeCell ref="M47:S48"/>
    <mergeCell ref="T47:Z48"/>
    <mergeCell ref="AA47:AG48"/>
    <mergeCell ref="AH47:AN48"/>
    <mergeCell ref="F23:H23"/>
    <mergeCell ref="AF40:AR40"/>
    <mergeCell ref="AF41:AR41"/>
    <mergeCell ref="G38:I38"/>
    <mergeCell ref="AD34:AT35"/>
    <mergeCell ref="F29:G29"/>
    <mergeCell ref="B30:D30"/>
    <mergeCell ref="F26:H26"/>
    <mergeCell ref="B45:BJ45"/>
    <mergeCell ref="BC47:BJ48"/>
    <mergeCell ref="AO47:AU48"/>
    <mergeCell ref="M23:T23"/>
    <mergeCell ref="F16:H16"/>
    <mergeCell ref="F15:H15"/>
    <mergeCell ref="F14:H14"/>
    <mergeCell ref="AL14:AT14"/>
    <mergeCell ref="F13:H13"/>
    <mergeCell ref="C12:E12"/>
    <mergeCell ref="F12:H12"/>
    <mergeCell ref="I12:K12"/>
    <mergeCell ref="B8:L10"/>
    <mergeCell ref="BC12:BJ12"/>
    <mergeCell ref="BC13:BJ13"/>
    <mergeCell ref="BC14:BJ14"/>
    <mergeCell ref="BC15:BJ15"/>
    <mergeCell ref="BC16:BJ16"/>
    <mergeCell ref="M8:T10"/>
    <mergeCell ref="U8:AC10"/>
    <mergeCell ref="AD8:AK10"/>
    <mergeCell ref="AL8:AT10"/>
    <mergeCell ref="AU8:BB10"/>
    <mergeCell ref="M12:T12"/>
    <mergeCell ref="U12:AC12"/>
    <mergeCell ref="AD12:AK12"/>
    <mergeCell ref="AL12:AT12"/>
    <mergeCell ref="AU12:BB12"/>
    <mergeCell ref="M13:T13"/>
    <mergeCell ref="U13:AC13"/>
    <mergeCell ref="AD13:AK13"/>
    <mergeCell ref="AL13:AT13"/>
    <mergeCell ref="AU13:BB13"/>
    <mergeCell ref="M14:T14"/>
    <mergeCell ref="U14:AC14"/>
    <mergeCell ref="AD14:AK14"/>
    <mergeCell ref="BC8:BJ10"/>
    <mergeCell ref="AU14:BB14"/>
    <mergeCell ref="M15:T15"/>
    <mergeCell ref="U15:AC15"/>
    <mergeCell ref="AD15:AK15"/>
    <mergeCell ref="AL15:AT15"/>
    <mergeCell ref="AU15:BB15"/>
    <mergeCell ref="M16:T16"/>
    <mergeCell ref="U16:AC16"/>
    <mergeCell ref="AD16:AK16"/>
    <mergeCell ref="AL16:AT16"/>
    <mergeCell ref="AU16:BB16"/>
    <mergeCell ref="BC26:BJ26"/>
    <mergeCell ref="M24:T24"/>
    <mergeCell ref="U24:AC24"/>
    <mergeCell ref="AD24:AK24"/>
    <mergeCell ref="AL24:AT24"/>
    <mergeCell ref="AU24:BB24"/>
    <mergeCell ref="BC24:BJ24"/>
    <mergeCell ref="M25:T25"/>
    <mergeCell ref="U25:AC25"/>
    <mergeCell ref="AD25:AK25"/>
    <mergeCell ref="AL25:AT25"/>
    <mergeCell ref="BC25:BJ25"/>
    <mergeCell ref="AU18:BB20"/>
    <mergeCell ref="BC18:BJ20"/>
    <mergeCell ref="M20:T20"/>
    <mergeCell ref="U20:AC20"/>
    <mergeCell ref="AD20:AK20"/>
    <mergeCell ref="AL20:AT20"/>
    <mergeCell ref="BC23:BJ23"/>
    <mergeCell ref="BC22:BJ22"/>
    <mergeCell ref="AD18:AT18"/>
    <mergeCell ref="AD19:AT19"/>
    <mergeCell ref="M18:AC18"/>
    <mergeCell ref="M19:AC19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BK57"/>
  <sheetViews>
    <sheetView view="pageBreakPreview" zoomScaleNormal="100" zoomScaleSheetLayoutView="100" workbookViewId="0"/>
  </sheetViews>
  <sheetFormatPr defaultRowHeight="13.5"/>
  <cols>
    <col min="1" max="1" width="1" customWidth="1"/>
    <col min="2" max="63" width="1.625" customWidth="1"/>
  </cols>
  <sheetData>
    <row r="1" spans="2:63" ht="11.1" customHeight="1"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W1" s="369">
        <f>'190'!A1+1</f>
        <v>191</v>
      </c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</row>
    <row r="2" spans="2:63" ht="11.1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</row>
    <row r="3" spans="2:63" ht="11.1" customHeight="1">
      <c r="B3" s="155"/>
      <c r="C3" s="155"/>
      <c r="D3" s="155"/>
      <c r="E3" s="155"/>
      <c r="F3" s="155"/>
      <c r="G3" s="155"/>
      <c r="H3" s="155"/>
    </row>
    <row r="4" spans="2:63" ht="11.1" customHeight="1">
      <c r="B4" s="155"/>
      <c r="C4" s="155"/>
      <c r="D4" s="155"/>
      <c r="E4" s="155"/>
      <c r="F4" s="155"/>
      <c r="G4" s="155"/>
      <c r="H4" s="155"/>
    </row>
    <row r="5" spans="2:63" ht="18" customHeight="1">
      <c r="B5" s="379" t="s">
        <v>420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</row>
    <row r="6" spans="2:63" s="244" customFormat="1" ht="12.95" customHeight="1">
      <c r="B6" s="545" t="s">
        <v>421</v>
      </c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  <c r="S6" s="545"/>
      <c r="T6" s="545"/>
      <c r="U6" s="545"/>
      <c r="V6" s="545"/>
      <c r="W6" s="545"/>
      <c r="X6" s="545"/>
      <c r="Y6" s="545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545"/>
      <c r="AL6" s="545"/>
      <c r="AM6" s="545"/>
      <c r="AN6" s="545"/>
      <c r="AO6" s="545"/>
      <c r="AP6" s="545"/>
      <c r="AQ6" s="545"/>
      <c r="AR6" s="545"/>
      <c r="AS6" s="545"/>
      <c r="AT6" s="545"/>
      <c r="AU6" s="545"/>
      <c r="AV6" s="545"/>
      <c r="AW6" s="545"/>
      <c r="AX6" s="545"/>
      <c r="AY6" s="545"/>
      <c r="AZ6" s="545"/>
      <c r="BA6" s="545"/>
      <c r="BB6" s="545"/>
      <c r="BC6" s="545"/>
      <c r="BD6" s="545"/>
      <c r="BE6" s="545"/>
      <c r="BF6" s="545"/>
    </row>
    <row r="7" spans="2:63" s="244" customFormat="1" ht="12.95" customHeight="1">
      <c r="AT7" s="20" t="s">
        <v>446</v>
      </c>
      <c r="BJ7" s="247"/>
    </row>
    <row r="8" spans="2:63" s="244" customFormat="1" ht="13.5" customHeight="1">
      <c r="B8" s="381" t="s">
        <v>438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 t="s">
        <v>422</v>
      </c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382" t="s">
        <v>423</v>
      </c>
      <c r="AF8" s="382"/>
      <c r="AG8" s="382"/>
      <c r="AH8" s="382"/>
      <c r="AI8" s="382"/>
      <c r="AJ8" s="382"/>
      <c r="AK8" s="382"/>
      <c r="AL8" s="382"/>
      <c r="AM8" s="382"/>
      <c r="AN8" s="382"/>
      <c r="AO8" s="382"/>
      <c r="AP8" s="382"/>
      <c r="AQ8" s="382"/>
      <c r="AR8" s="382"/>
      <c r="AS8" s="382"/>
      <c r="AT8" s="406"/>
    </row>
    <row r="9" spans="2:63" s="244" customFormat="1">
      <c r="B9" s="383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407"/>
    </row>
    <row r="10" spans="2:63" s="244" customFormat="1">
      <c r="N10" s="248"/>
    </row>
    <row r="11" spans="2:63" s="244" customFormat="1" ht="13.5" customHeight="1">
      <c r="C11" s="389" t="s">
        <v>7</v>
      </c>
      <c r="D11" s="389"/>
      <c r="E11" s="389"/>
      <c r="F11" s="389"/>
      <c r="G11" s="380">
        <v>21</v>
      </c>
      <c r="H11" s="380"/>
      <c r="I11" s="380"/>
      <c r="J11" s="389" t="s">
        <v>424</v>
      </c>
      <c r="K11" s="389"/>
      <c r="L11" s="389"/>
      <c r="M11" s="389"/>
      <c r="N11" s="249"/>
      <c r="O11" s="409">
        <v>18</v>
      </c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>
        <v>1272</v>
      </c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</row>
    <row r="12" spans="2:63" s="244" customFormat="1" ht="13.5" customHeight="1">
      <c r="G12" s="380">
        <v>22</v>
      </c>
      <c r="H12" s="380"/>
      <c r="I12" s="380"/>
      <c r="N12" s="249"/>
      <c r="O12" s="409">
        <v>20</v>
      </c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>
        <v>1362</v>
      </c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</row>
    <row r="13" spans="2:63" s="244" customFormat="1" ht="13.5" customHeight="1">
      <c r="G13" s="380">
        <v>23</v>
      </c>
      <c r="H13" s="380"/>
      <c r="I13" s="380"/>
      <c r="N13" s="249"/>
      <c r="O13" s="409">
        <v>20</v>
      </c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>
        <v>1362</v>
      </c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</row>
    <row r="14" spans="2:63" s="244" customFormat="1" ht="13.5" customHeight="1">
      <c r="G14" s="380">
        <v>24</v>
      </c>
      <c r="H14" s="380"/>
      <c r="I14" s="380"/>
      <c r="N14" s="249"/>
      <c r="O14" s="409">
        <v>20</v>
      </c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>
        <v>1362</v>
      </c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</row>
    <row r="15" spans="2:63" s="244" customFormat="1" ht="13.5" customHeight="1">
      <c r="G15" s="392">
        <v>25</v>
      </c>
      <c r="H15" s="392"/>
      <c r="I15" s="392"/>
      <c r="N15" s="250"/>
      <c r="O15" s="408">
        <v>23</v>
      </c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>
        <v>1636</v>
      </c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</row>
    <row r="16" spans="2:63" s="244" customFormat="1" ht="13.5" customHeight="1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251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</row>
    <row r="17" spans="2:62" s="244" customFormat="1">
      <c r="C17" s="546" t="s">
        <v>8</v>
      </c>
      <c r="D17" s="546"/>
      <c r="E17" s="243" t="s">
        <v>425</v>
      </c>
      <c r="F17" s="18" t="s">
        <v>426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42"/>
    </row>
    <row r="18" spans="2:62" s="244" customFormat="1">
      <c r="B18" s="547" t="s">
        <v>9</v>
      </c>
      <c r="C18" s="547"/>
      <c r="D18" s="547"/>
      <c r="E18" s="241" t="s">
        <v>427</v>
      </c>
      <c r="F18" s="2" t="s">
        <v>43</v>
      </c>
      <c r="H18" s="2"/>
      <c r="I18" s="2"/>
      <c r="J18" s="2"/>
      <c r="BJ18" s="242"/>
    </row>
    <row r="19" spans="2:62" s="244" customFormat="1"/>
    <row r="20" spans="2:62" s="244" customFormat="1">
      <c r="B20" s="545" t="s">
        <v>428</v>
      </c>
      <c r="C20" s="545"/>
      <c r="D20" s="545"/>
      <c r="E20" s="545"/>
      <c r="F20" s="545"/>
      <c r="G20" s="545"/>
      <c r="H20" s="545"/>
      <c r="I20" s="545"/>
      <c r="J20" s="545"/>
      <c r="K20" s="545"/>
      <c r="L20" s="545"/>
      <c r="M20" s="545"/>
      <c r="N20" s="545"/>
      <c r="O20" s="545"/>
      <c r="P20" s="545"/>
      <c r="Q20" s="545"/>
      <c r="R20" s="545"/>
      <c r="S20" s="545"/>
      <c r="T20" s="545"/>
      <c r="U20" s="545"/>
      <c r="V20" s="545"/>
      <c r="W20" s="545"/>
      <c r="X20" s="545"/>
      <c r="Y20" s="545"/>
      <c r="Z20" s="545"/>
      <c r="AA20" s="545"/>
      <c r="AB20" s="545"/>
      <c r="AC20" s="545"/>
      <c r="AD20" s="545"/>
      <c r="AE20" s="545"/>
      <c r="AF20" s="545"/>
      <c r="AG20" s="545"/>
      <c r="AH20" s="545"/>
      <c r="AI20" s="545"/>
      <c r="AJ20" s="545"/>
      <c r="AK20" s="545"/>
      <c r="AL20" s="545"/>
      <c r="AM20" s="545"/>
      <c r="AN20" s="545"/>
      <c r="AO20" s="545"/>
      <c r="AP20" s="545"/>
      <c r="AQ20" s="545"/>
      <c r="AR20" s="545"/>
      <c r="AS20" s="545"/>
      <c r="AT20" s="545"/>
      <c r="AU20" s="545"/>
      <c r="AV20" s="545"/>
      <c r="AW20" s="545"/>
      <c r="AX20" s="545"/>
      <c r="AY20" s="545"/>
      <c r="AZ20" s="545"/>
      <c r="BA20" s="545"/>
      <c r="BB20" s="545"/>
      <c r="BC20" s="545"/>
      <c r="BD20" s="545"/>
      <c r="BE20" s="545"/>
      <c r="BF20" s="545"/>
    </row>
    <row r="21" spans="2:62" s="244" customFormat="1">
      <c r="AT21" s="20" t="s">
        <v>446</v>
      </c>
    </row>
    <row r="22" spans="2:62" s="244" customFormat="1" ht="13.5" customHeight="1">
      <c r="B22" s="381" t="s">
        <v>438</v>
      </c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 t="s">
        <v>422</v>
      </c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 t="s">
        <v>423</v>
      </c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406"/>
    </row>
    <row r="23" spans="2:62" s="244" customFormat="1">
      <c r="B23" s="383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407"/>
    </row>
    <row r="24" spans="2:62" s="244" customFormat="1">
      <c r="N24" s="248"/>
    </row>
    <row r="25" spans="2:62" s="244" customFormat="1">
      <c r="C25" s="389" t="s">
        <v>7</v>
      </c>
      <c r="D25" s="389"/>
      <c r="E25" s="389"/>
      <c r="F25" s="389"/>
      <c r="G25" s="380">
        <v>21</v>
      </c>
      <c r="H25" s="380"/>
      <c r="I25" s="380"/>
      <c r="J25" s="389" t="s">
        <v>424</v>
      </c>
      <c r="K25" s="389"/>
      <c r="L25" s="389"/>
      <c r="M25" s="389"/>
      <c r="N25" s="249"/>
      <c r="O25" s="409">
        <v>6</v>
      </c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>
        <v>620</v>
      </c>
      <c r="AF25" s="391"/>
      <c r="AG25" s="391"/>
      <c r="AH25" s="391"/>
      <c r="AI25" s="391"/>
      <c r="AJ25" s="391"/>
      <c r="AK25" s="391"/>
      <c r="AL25" s="391"/>
      <c r="AM25" s="391"/>
      <c r="AN25" s="391"/>
      <c r="AO25" s="391"/>
      <c r="AP25" s="391"/>
      <c r="AQ25" s="391"/>
      <c r="AR25" s="391"/>
      <c r="AS25" s="391"/>
      <c r="AT25" s="391"/>
    </row>
    <row r="26" spans="2:62" s="244" customFormat="1">
      <c r="G26" s="380">
        <v>22</v>
      </c>
      <c r="H26" s="380"/>
      <c r="I26" s="380"/>
      <c r="N26" s="249"/>
      <c r="O26" s="409">
        <v>7</v>
      </c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>
        <v>743</v>
      </c>
      <c r="AF26" s="391"/>
      <c r="AG26" s="391"/>
      <c r="AH26" s="391"/>
      <c r="AI26" s="391"/>
      <c r="AJ26" s="391"/>
      <c r="AK26" s="391"/>
      <c r="AL26" s="391"/>
      <c r="AM26" s="391"/>
      <c r="AN26" s="391"/>
      <c r="AO26" s="391"/>
      <c r="AP26" s="391"/>
      <c r="AQ26" s="391"/>
      <c r="AR26" s="391"/>
      <c r="AS26" s="391"/>
      <c r="AT26" s="391"/>
    </row>
    <row r="27" spans="2:62" s="244" customFormat="1">
      <c r="G27" s="380">
        <v>23</v>
      </c>
      <c r="H27" s="380"/>
      <c r="I27" s="380"/>
      <c r="N27" s="249"/>
      <c r="O27" s="409">
        <v>8</v>
      </c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>
        <v>796</v>
      </c>
      <c r="AF27" s="391"/>
      <c r="AG27" s="391"/>
      <c r="AH27" s="391"/>
      <c r="AI27" s="391"/>
      <c r="AJ27" s="391"/>
      <c r="AK27" s="391"/>
      <c r="AL27" s="391"/>
      <c r="AM27" s="391"/>
      <c r="AN27" s="391"/>
      <c r="AO27" s="391"/>
      <c r="AP27" s="391"/>
      <c r="AQ27" s="391"/>
      <c r="AR27" s="391"/>
      <c r="AS27" s="391"/>
      <c r="AT27" s="391"/>
    </row>
    <row r="28" spans="2:62" s="244" customFormat="1">
      <c r="G28" s="380">
        <v>24</v>
      </c>
      <c r="H28" s="380"/>
      <c r="I28" s="380"/>
      <c r="N28" s="249"/>
      <c r="O28" s="409">
        <v>8</v>
      </c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>
        <v>816</v>
      </c>
      <c r="AF28" s="391"/>
      <c r="AG28" s="391"/>
      <c r="AH28" s="391"/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</row>
    <row r="29" spans="2:62" s="244" customFormat="1">
      <c r="G29" s="392">
        <v>25</v>
      </c>
      <c r="H29" s="392"/>
      <c r="I29" s="392"/>
      <c r="N29" s="250"/>
      <c r="O29" s="408">
        <v>8</v>
      </c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>
        <v>816</v>
      </c>
      <c r="AF29" s="399"/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AQ29" s="399"/>
      <c r="AR29" s="399"/>
      <c r="AS29" s="399"/>
      <c r="AT29" s="399"/>
    </row>
    <row r="30" spans="2:62" s="244" customFormat="1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251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</row>
    <row r="31" spans="2:62" s="244" customFormat="1">
      <c r="B31" s="410" t="s">
        <v>9</v>
      </c>
      <c r="C31" s="410"/>
      <c r="D31" s="410"/>
      <c r="E31" s="241" t="s">
        <v>429</v>
      </c>
      <c r="F31" s="2" t="s">
        <v>43</v>
      </c>
      <c r="H31" s="2"/>
      <c r="I31" s="2"/>
      <c r="J31" s="2"/>
    </row>
    <row r="32" spans="2:62" s="244" customFormat="1"/>
    <row r="33" spans="2:58" s="244" customFormat="1">
      <c r="B33" s="545" t="s">
        <v>432</v>
      </c>
      <c r="C33" s="545"/>
      <c r="D33" s="545"/>
      <c r="E33" s="545"/>
      <c r="F33" s="545"/>
      <c r="G33" s="545"/>
      <c r="H33" s="545"/>
      <c r="I33" s="545"/>
      <c r="J33" s="545"/>
      <c r="K33" s="545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5"/>
      <c r="AA33" s="545"/>
      <c r="AB33" s="545"/>
      <c r="AC33" s="545"/>
      <c r="AD33" s="545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AT33" s="545"/>
      <c r="AU33" s="545"/>
      <c r="AV33" s="545"/>
      <c r="AW33" s="545"/>
      <c r="AX33" s="545"/>
      <c r="AY33" s="545"/>
      <c r="AZ33" s="545"/>
      <c r="BA33" s="545"/>
      <c r="BB33" s="545"/>
      <c r="BC33" s="545"/>
      <c r="BD33" s="545"/>
      <c r="BE33" s="545"/>
      <c r="BF33" s="545"/>
    </row>
    <row r="34" spans="2:58" s="244" customFormat="1">
      <c r="AS34" s="20" t="s">
        <v>446</v>
      </c>
    </row>
    <row r="35" spans="2:58" s="244" customFormat="1" ht="13.5" customHeight="1">
      <c r="B35" s="411" t="s">
        <v>438</v>
      </c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543" t="s">
        <v>430</v>
      </c>
      <c r="O35" s="543"/>
      <c r="P35" s="543"/>
      <c r="Q35" s="543"/>
      <c r="R35" s="543"/>
      <c r="S35" s="543"/>
      <c r="T35" s="543"/>
      <c r="U35" s="543"/>
      <c r="V35" s="543"/>
      <c r="W35" s="543"/>
      <c r="X35" s="543"/>
      <c r="Y35" s="543"/>
      <c r="Z35" s="543"/>
      <c r="AA35" s="543"/>
      <c r="AB35" s="543"/>
      <c r="AC35" s="543"/>
      <c r="AD35" s="543" t="s">
        <v>431</v>
      </c>
      <c r="AE35" s="543"/>
      <c r="AF35" s="543"/>
      <c r="AG35" s="543"/>
      <c r="AH35" s="543"/>
      <c r="AI35" s="543"/>
      <c r="AJ35" s="543"/>
      <c r="AK35" s="543"/>
      <c r="AL35" s="543"/>
      <c r="AM35" s="543"/>
      <c r="AN35" s="543"/>
      <c r="AO35" s="543"/>
      <c r="AP35" s="543"/>
      <c r="AQ35" s="543"/>
      <c r="AR35" s="543"/>
      <c r="AS35" s="544"/>
    </row>
    <row r="36" spans="2:58" s="244" customFormat="1" ht="13.5" customHeight="1">
      <c r="B36" s="412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 t="s">
        <v>422</v>
      </c>
      <c r="O36" s="385"/>
      <c r="P36" s="385"/>
      <c r="Q36" s="385"/>
      <c r="R36" s="385"/>
      <c r="S36" s="385"/>
      <c r="T36" s="385"/>
      <c r="U36" s="385"/>
      <c r="V36" s="385" t="s">
        <v>423</v>
      </c>
      <c r="W36" s="385"/>
      <c r="X36" s="385"/>
      <c r="Y36" s="385"/>
      <c r="Z36" s="385"/>
      <c r="AA36" s="385"/>
      <c r="AB36" s="385"/>
      <c r="AC36" s="385"/>
      <c r="AD36" s="385" t="s">
        <v>422</v>
      </c>
      <c r="AE36" s="385"/>
      <c r="AF36" s="385"/>
      <c r="AG36" s="385"/>
      <c r="AH36" s="385"/>
      <c r="AI36" s="385"/>
      <c r="AJ36" s="385"/>
      <c r="AK36" s="385"/>
      <c r="AL36" s="385" t="s">
        <v>423</v>
      </c>
      <c r="AM36" s="385"/>
      <c r="AN36" s="385"/>
      <c r="AO36" s="385"/>
      <c r="AP36" s="385"/>
      <c r="AQ36" s="385"/>
      <c r="AR36" s="385"/>
      <c r="AS36" s="388"/>
    </row>
    <row r="37" spans="2:58" s="244" customFormat="1">
      <c r="M37" s="248"/>
      <c r="V37" s="250"/>
      <c r="W37" s="250"/>
      <c r="X37" s="250"/>
      <c r="Y37" s="250"/>
      <c r="Z37" s="250"/>
      <c r="AA37" s="250"/>
      <c r="AB37" s="250"/>
    </row>
    <row r="38" spans="2:58" s="244" customFormat="1">
      <c r="C38" s="389" t="s">
        <v>7</v>
      </c>
      <c r="D38" s="389"/>
      <c r="E38" s="389"/>
      <c r="F38" s="389"/>
      <c r="G38" s="380">
        <v>21</v>
      </c>
      <c r="H38" s="380"/>
      <c r="I38" s="389" t="s">
        <v>424</v>
      </c>
      <c r="J38" s="389"/>
      <c r="K38" s="389"/>
      <c r="L38" s="389"/>
      <c r="M38" s="249"/>
      <c r="N38" s="421">
        <v>1</v>
      </c>
      <c r="O38" s="391"/>
      <c r="P38" s="391"/>
      <c r="Q38" s="391"/>
      <c r="R38" s="391"/>
      <c r="S38" s="391"/>
      <c r="T38" s="391"/>
      <c r="U38" s="391"/>
      <c r="V38" s="409">
        <v>50</v>
      </c>
      <c r="W38" s="409"/>
      <c r="X38" s="409"/>
      <c r="Y38" s="409"/>
      <c r="Z38" s="409"/>
      <c r="AA38" s="409"/>
      <c r="AB38" s="409"/>
      <c r="AC38" s="409"/>
      <c r="AD38" s="414">
        <v>0</v>
      </c>
      <c r="AE38" s="414"/>
      <c r="AF38" s="414"/>
      <c r="AG38" s="414"/>
      <c r="AH38" s="414"/>
      <c r="AI38" s="414"/>
      <c r="AJ38" s="414"/>
      <c r="AK38" s="414"/>
      <c r="AL38" s="414">
        <v>0</v>
      </c>
      <c r="AM38" s="414"/>
      <c r="AN38" s="414"/>
      <c r="AO38" s="414"/>
      <c r="AP38" s="414"/>
      <c r="AQ38" s="414"/>
      <c r="AR38" s="414"/>
      <c r="AS38" s="414"/>
    </row>
    <row r="39" spans="2:58" s="244" customFormat="1">
      <c r="G39" s="380">
        <v>22</v>
      </c>
      <c r="H39" s="380"/>
      <c r="M39" s="249"/>
      <c r="N39" s="421">
        <v>1</v>
      </c>
      <c r="O39" s="391"/>
      <c r="P39" s="391"/>
      <c r="Q39" s="391"/>
      <c r="R39" s="391"/>
      <c r="S39" s="391"/>
      <c r="T39" s="391"/>
      <c r="U39" s="391"/>
      <c r="V39" s="409">
        <v>50</v>
      </c>
      <c r="W39" s="409"/>
      <c r="X39" s="409"/>
      <c r="Y39" s="409"/>
      <c r="Z39" s="409"/>
      <c r="AA39" s="409"/>
      <c r="AB39" s="409"/>
      <c r="AC39" s="409"/>
      <c r="AD39" s="414">
        <v>0</v>
      </c>
      <c r="AE39" s="414"/>
      <c r="AF39" s="414"/>
      <c r="AG39" s="414"/>
      <c r="AH39" s="414"/>
      <c r="AI39" s="414"/>
      <c r="AJ39" s="414"/>
      <c r="AK39" s="414"/>
      <c r="AL39" s="414">
        <v>0</v>
      </c>
      <c r="AM39" s="414"/>
      <c r="AN39" s="414"/>
      <c r="AO39" s="414"/>
      <c r="AP39" s="414"/>
      <c r="AQ39" s="414"/>
      <c r="AR39" s="414"/>
      <c r="AS39" s="414"/>
    </row>
    <row r="40" spans="2:58" s="244" customFormat="1">
      <c r="G40" s="380">
        <v>23</v>
      </c>
      <c r="H40" s="380"/>
      <c r="M40" s="249"/>
      <c r="N40" s="421">
        <v>1</v>
      </c>
      <c r="O40" s="391"/>
      <c r="P40" s="391"/>
      <c r="Q40" s="391"/>
      <c r="R40" s="391"/>
      <c r="S40" s="391"/>
      <c r="T40" s="391"/>
      <c r="U40" s="391"/>
      <c r="V40" s="409">
        <v>50</v>
      </c>
      <c r="W40" s="409"/>
      <c r="X40" s="409"/>
      <c r="Y40" s="409"/>
      <c r="Z40" s="409"/>
      <c r="AA40" s="409"/>
      <c r="AB40" s="409"/>
      <c r="AC40" s="409"/>
      <c r="AD40" s="414">
        <v>0</v>
      </c>
      <c r="AE40" s="414"/>
      <c r="AF40" s="414"/>
      <c r="AG40" s="414"/>
      <c r="AH40" s="414"/>
      <c r="AI40" s="414"/>
      <c r="AJ40" s="414"/>
      <c r="AK40" s="414"/>
      <c r="AL40" s="414">
        <v>0</v>
      </c>
      <c r="AM40" s="414"/>
      <c r="AN40" s="414"/>
      <c r="AO40" s="414"/>
      <c r="AP40" s="414"/>
      <c r="AQ40" s="414"/>
      <c r="AR40" s="414"/>
      <c r="AS40" s="414"/>
    </row>
    <row r="41" spans="2:58" s="244" customFormat="1">
      <c r="G41" s="380">
        <v>24</v>
      </c>
      <c r="H41" s="380"/>
      <c r="M41" s="249"/>
      <c r="N41" s="421">
        <v>1</v>
      </c>
      <c r="O41" s="391"/>
      <c r="P41" s="391"/>
      <c r="Q41" s="391"/>
      <c r="R41" s="391"/>
      <c r="S41" s="391"/>
      <c r="T41" s="391"/>
      <c r="U41" s="391"/>
      <c r="V41" s="409">
        <v>50</v>
      </c>
      <c r="W41" s="409"/>
      <c r="X41" s="409"/>
      <c r="Y41" s="409"/>
      <c r="Z41" s="409"/>
      <c r="AA41" s="409"/>
      <c r="AB41" s="409"/>
      <c r="AC41" s="409"/>
      <c r="AD41" s="414">
        <v>0</v>
      </c>
      <c r="AE41" s="414"/>
      <c r="AF41" s="414"/>
      <c r="AG41" s="414"/>
      <c r="AH41" s="414"/>
      <c r="AI41" s="414"/>
      <c r="AJ41" s="414"/>
      <c r="AK41" s="414"/>
      <c r="AL41" s="414">
        <v>0</v>
      </c>
      <c r="AM41" s="414"/>
      <c r="AN41" s="414"/>
      <c r="AO41" s="414"/>
      <c r="AP41" s="414"/>
      <c r="AQ41" s="414"/>
      <c r="AR41" s="414"/>
      <c r="AS41" s="414"/>
    </row>
    <row r="42" spans="2:58" s="244" customFormat="1">
      <c r="G42" s="392">
        <v>25</v>
      </c>
      <c r="H42" s="392"/>
      <c r="M42" s="250"/>
      <c r="N42" s="415">
        <v>1</v>
      </c>
      <c r="O42" s="405"/>
      <c r="P42" s="405"/>
      <c r="Q42" s="405"/>
      <c r="R42" s="405"/>
      <c r="S42" s="405"/>
      <c r="T42" s="405"/>
      <c r="U42" s="405"/>
      <c r="V42" s="405">
        <v>50</v>
      </c>
      <c r="W42" s="405"/>
      <c r="X42" s="405"/>
      <c r="Y42" s="405"/>
      <c r="Z42" s="405"/>
      <c r="AA42" s="405"/>
      <c r="AB42" s="405"/>
      <c r="AC42" s="405"/>
      <c r="AD42" s="405">
        <v>2</v>
      </c>
      <c r="AE42" s="405"/>
      <c r="AF42" s="405"/>
      <c r="AG42" s="405"/>
      <c r="AH42" s="405"/>
      <c r="AI42" s="405"/>
      <c r="AJ42" s="405"/>
      <c r="AK42" s="405"/>
      <c r="AL42" s="405">
        <v>40</v>
      </c>
      <c r="AM42" s="405"/>
      <c r="AN42" s="405"/>
      <c r="AO42" s="405"/>
      <c r="AP42" s="405"/>
      <c r="AQ42" s="405"/>
      <c r="AR42" s="405"/>
      <c r="AS42" s="405"/>
    </row>
    <row r="43" spans="2:58" s="244" customFormat="1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251"/>
      <c r="N43" s="51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2:58" s="244" customFormat="1">
      <c r="B44" s="410" t="s">
        <v>9</v>
      </c>
      <c r="C44" s="410"/>
      <c r="D44" s="410"/>
      <c r="E44" s="241" t="s">
        <v>427</v>
      </c>
      <c r="F44" s="2" t="s">
        <v>43</v>
      </c>
      <c r="G44" s="2"/>
      <c r="H44" s="2"/>
      <c r="I44" s="2"/>
    </row>
    <row r="45" spans="2:58" s="253" customFormat="1"/>
    <row r="46" spans="2:58" s="253" customFormat="1">
      <c r="B46" s="555" t="s">
        <v>433</v>
      </c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555"/>
      <c r="Q46" s="555"/>
      <c r="R46" s="555"/>
      <c r="S46" s="555"/>
      <c r="T46" s="555"/>
      <c r="U46" s="555"/>
      <c r="V46" s="555"/>
      <c r="W46" s="555"/>
      <c r="X46" s="555"/>
      <c r="Y46" s="555"/>
      <c r="Z46" s="555"/>
      <c r="AA46" s="555"/>
      <c r="AB46" s="555"/>
      <c r="AC46" s="555"/>
      <c r="AD46" s="555"/>
      <c r="AE46" s="555"/>
      <c r="AF46" s="555"/>
      <c r="AG46" s="555"/>
      <c r="AH46" s="555"/>
      <c r="AI46" s="555"/>
      <c r="AJ46" s="555"/>
      <c r="AK46" s="555"/>
      <c r="AL46" s="555"/>
      <c r="AM46" s="555"/>
      <c r="AN46" s="555"/>
      <c r="AO46" s="555"/>
      <c r="AP46" s="555"/>
      <c r="AQ46" s="555"/>
      <c r="AR46" s="555"/>
      <c r="AS46" s="555"/>
      <c r="AT46" s="555"/>
      <c r="AU46" s="555"/>
      <c r="AV46" s="555"/>
      <c r="AW46" s="555"/>
      <c r="AX46" s="555"/>
      <c r="AY46" s="555"/>
      <c r="AZ46" s="555"/>
      <c r="BA46" s="555"/>
      <c r="BB46" s="555"/>
      <c r="BC46" s="555"/>
      <c r="BD46" s="555"/>
      <c r="BE46" s="555"/>
      <c r="BF46" s="555"/>
    </row>
    <row r="47" spans="2:58" s="253" customFormat="1">
      <c r="AT47" s="20" t="s">
        <v>446</v>
      </c>
    </row>
    <row r="48" spans="2:58" s="253" customFormat="1" ht="13.5" customHeight="1">
      <c r="B48" s="381" t="s">
        <v>438</v>
      </c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548" t="s">
        <v>422</v>
      </c>
      <c r="P48" s="548"/>
      <c r="Q48" s="548"/>
      <c r="R48" s="548"/>
      <c r="S48" s="548"/>
      <c r="T48" s="548"/>
      <c r="U48" s="548"/>
      <c r="V48" s="548"/>
      <c r="W48" s="548"/>
      <c r="X48" s="548"/>
      <c r="Y48" s="548"/>
      <c r="Z48" s="548"/>
      <c r="AA48" s="548"/>
      <c r="AB48" s="548"/>
      <c r="AC48" s="548"/>
      <c r="AD48" s="548"/>
      <c r="AE48" s="548" t="s">
        <v>423</v>
      </c>
      <c r="AF48" s="548"/>
      <c r="AG48" s="548"/>
      <c r="AH48" s="548"/>
      <c r="AI48" s="548"/>
      <c r="AJ48" s="548"/>
      <c r="AK48" s="548"/>
      <c r="AL48" s="548"/>
      <c r="AM48" s="548"/>
      <c r="AN48" s="548"/>
      <c r="AO48" s="548"/>
      <c r="AP48" s="548"/>
      <c r="AQ48" s="548"/>
      <c r="AR48" s="548"/>
      <c r="AS48" s="548"/>
      <c r="AT48" s="550"/>
    </row>
    <row r="49" spans="2:46" s="253" customFormat="1">
      <c r="B49" s="383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549"/>
      <c r="P49" s="549"/>
      <c r="Q49" s="549"/>
      <c r="R49" s="549"/>
      <c r="S49" s="549"/>
      <c r="T49" s="549"/>
      <c r="U49" s="549"/>
      <c r="V49" s="549"/>
      <c r="W49" s="549"/>
      <c r="X49" s="549"/>
      <c r="Y49" s="549"/>
      <c r="Z49" s="549"/>
      <c r="AA49" s="549"/>
      <c r="AB49" s="549"/>
      <c r="AC49" s="549"/>
      <c r="AD49" s="549"/>
      <c r="AE49" s="549"/>
      <c r="AF49" s="549"/>
      <c r="AG49" s="549"/>
      <c r="AH49" s="549"/>
      <c r="AI49" s="549"/>
      <c r="AJ49" s="549"/>
      <c r="AK49" s="549"/>
      <c r="AL49" s="549"/>
      <c r="AM49" s="549"/>
      <c r="AN49" s="549"/>
      <c r="AO49" s="549"/>
      <c r="AP49" s="549"/>
      <c r="AQ49" s="549"/>
      <c r="AR49" s="549"/>
      <c r="AS49" s="549"/>
      <c r="AT49" s="551"/>
    </row>
    <row r="50" spans="2:46" s="253" customFormat="1">
      <c r="N50" s="254"/>
    </row>
    <row r="51" spans="2:46" s="253" customFormat="1">
      <c r="C51" s="552" t="s">
        <v>7</v>
      </c>
      <c r="D51" s="552"/>
      <c r="E51" s="552"/>
      <c r="F51" s="552"/>
      <c r="G51" s="553">
        <v>21</v>
      </c>
      <c r="H51" s="553"/>
      <c r="I51" s="553"/>
      <c r="J51" s="552" t="s">
        <v>424</v>
      </c>
      <c r="K51" s="552"/>
      <c r="L51" s="552"/>
      <c r="M51" s="552"/>
      <c r="N51" s="255"/>
      <c r="O51" s="390">
        <v>16</v>
      </c>
      <c r="P51" s="554"/>
      <c r="Q51" s="554"/>
      <c r="R51" s="554"/>
      <c r="S51" s="554"/>
      <c r="T51" s="554"/>
      <c r="U51" s="554"/>
      <c r="V51" s="554"/>
      <c r="W51" s="554"/>
      <c r="X51" s="554"/>
      <c r="Y51" s="554"/>
      <c r="Z51" s="554"/>
      <c r="AA51" s="554"/>
      <c r="AB51" s="554"/>
      <c r="AC51" s="554"/>
      <c r="AD51" s="554"/>
      <c r="AE51" s="554">
        <v>240</v>
      </c>
      <c r="AF51" s="554"/>
      <c r="AG51" s="554"/>
      <c r="AH51" s="554"/>
      <c r="AI51" s="554"/>
      <c r="AJ51" s="554"/>
      <c r="AK51" s="554"/>
      <c r="AL51" s="554"/>
      <c r="AM51" s="554"/>
      <c r="AN51" s="554"/>
      <c r="AO51" s="554"/>
      <c r="AP51" s="554"/>
      <c r="AQ51" s="554"/>
      <c r="AR51" s="554"/>
      <c r="AS51" s="554"/>
      <c r="AT51" s="554"/>
    </row>
    <row r="52" spans="2:46" s="253" customFormat="1">
      <c r="G52" s="553">
        <v>22</v>
      </c>
      <c r="H52" s="553"/>
      <c r="I52" s="553"/>
      <c r="N52" s="255"/>
      <c r="O52" s="390">
        <v>20</v>
      </c>
      <c r="P52" s="554"/>
      <c r="Q52" s="554"/>
      <c r="R52" s="554"/>
      <c r="S52" s="554"/>
      <c r="T52" s="554"/>
      <c r="U52" s="554"/>
      <c r="V52" s="554"/>
      <c r="W52" s="554"/>
      <c r="X52" s="554"/>
      <c r="Y52" s="554"/>
      <c r="Z52" s="554"/>
      <c r="AA52" s="554"/>
      <c r="AB52" s="554"/>
      <c r="AC52" s="554"/>
      <c r="AD52" s="554"/>
      <c r="AE52" s="554">
        <v>312</v>
      </c>
      <c r="AF52" s="554"/>
      <c r="AG52" s="554"/>
      <c r="AH52" s="554"/>
      <c r="AI52" s="554"/>
      <c r="AJ52" s="554"/>
      <c r="AK52" s="554"/>
      <c r="AL52" s="554"/>
      <c r="AM52" s="554"/>
      <c r="AN52" s="554"/>
      <c r="AO52" s="554"/>
      <c r="AP52" s="554"/>
      <c r="AQ52" s="554"/>
      <c r="AR52" s="554"/>
      <c r="AS52" s="554"/>
      <c r="AT52" s="554"/>
    </row>
    <row r="53" spans="2:46" s="253" customFormat="1">
      <c r="G53" s="553">
        <v>23</v>
      </c>
      <c r="H53" s="553"/>
      <c r="I53" s="553"/>
      <c r="N53" s="255"/>
      <c r="O53" s="390">
        <v>24</v>
      </c>
      <c r="P53" s="554"/>
      <c r="Q53" s="554"/>
      <c r="R53" s="554"/>
      <c r="S53" s="554"/>
      <c r="T53" s="554"/>
      <c r="U53" s="554"/>
      <c r="V53" s="554"/>
      <c r="W53" s="554"/>
      <c r="X53" s="554"/>
      <c r="Y53" s="554"/>
      <c r="Z53" s="554"/>
      <c r="AA53" s="554"/>
      <c r="AB53" s="554"/>
      <c r="AC53" s="554"/>
      <c r="AD53" s="554"/>
      <c r="AE53" s="554">
        <v>384</v>
      </c>
      <c r="AF53" s="554"/>
      <c r="AG53" s="554"/>
      <c r="AH53" s="554"/>
      <c r="AI53" s="554"/>
      <c r="AJ53" s="554"/>
      <c r="AK53" s="554"/>
      <c r="AL53" s="554"/>
      <c r="AM53" s="554"/>
      <c r="AN53" s="554"/>
      <c r="AO53" s="554"/>
      <c r="AP53" s="554"/>
      <c r="AQ53" s="554"/>
      <c r="AR53" s="554"/>
      <c r="AS53" s="554"/>
      <c r="AT53" s="554"/>
    </row>
    <row r="54" spans="2:46" s="253" customFormat="1">
      <c r="G54" s="553">
        <v>24</v>
      </c>
      <c r="H54" s="553"/>
      <c r="I54" s="553"/>
      <c r="N54" s="255"/>
      <c r="O54" s="390">
        <v>28</v>
      </c>
      <c r="P54" s="554"/>
      <c r="Q54" s="554"/>
      <c r="R54" s="554"/>
      <c r="S54" s="554"/>
      <c r="T54" s="554"/>
      <c r="U54" s="554"/>
      <c r="V54" s="554"/>
      <c r="W54" s="554"/>
      <c r="X54" s="554"/>
      <c r="Y54" s="554"/>
      <c r="Z54" s="554"/>
      <c r="AA54" s="554"/>
      <c r="AB54" s="554"/>
      <c r="AC54" s="554"/>
      <c r="AD54" s="554"/>
      <c r="AE54" s="554">
        <v>465</v>
      </c>
      <c r="AF54" s="554"/>
      <c r="AG54" s="554"/>
      <c r="AH54" s="554"/>
      <c r="AI54" s="554"/>
      <c r="AJ54" s="554"/>
      <c r="AK54" s="554"/>
      <c r="AL54" s="554"/>
      <c r="AM54" s="554"/>
      <c r="AN54" s="554"/>
      <c r="AO54" s="554"/>
      <c r="AP54" s="554"/>
      <c r="AQ54" s="554"/>
      <c r="AR54" s="554"/>
      <c r="AS54" s="554"/>
      <c r="AT54" s="554"/>
    </row>
    <row r="55" spans="2:46" s="253" customFormat="1">
      <c r="G55" s="557">
        <v>25</v>
      </c>
      <c r="H55" s="557"/>
      <c r="I55" s="557"/>
      <c r="N55" s="256"/>
      <c r="O55" s="408">
        <v>28</v>
      </c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>
        <v>465</v>
      </c>
      <c r="AF55" s="399"/>
      <c r="AG55" s="399"/>
      <c r="AH55" s="399"/>
      <c r="AI55" s="399"/>
      <c r="AJ55" s="399"/>
      <c r="AK55" s="399"/>
      <c r="AL55" s="399"/>
      <c r="AM55" s="399"/>
      <c r="AN55" s="399"/>
      <c r="AO55" s="399"/>
      <c r="AP55" s="399"/>
      <c r="AQ55" s="399"/>
      <c r="AR55" s="399"/>
      <c r="AS55" s="399"/>
      <c r="AT55" s="399"/>
    </row>
    <row r="56" spans="2:46" s="253" customFormat="1"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57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</row>
    <row r="57" spans="2:46" s="253" customFormat="1">
      <c r="B57" s="556" t="s">
        <v>9</v>
      </c>
      <c r="C57" s="556"/>
      <c r="D57" s="556"/>
      <c r="E57" s="246" t="s">
        <v>434</v>
      </c>
      <c r="F57" s="210" t="s">
        <v>233</v>
      </c>
      <c r="H57" s="210"/>
      <c r="I57" s="210"/>
      <c r="J57" s="210"/>
    </row>
  </sheetData>
  <mergeCells count="105">
    <mergeCell ref="B57:D57"/>
    <mergeCell ref="G54:I54"/>
    <mergeCell ref="O54:AD54"/>
    <mergeCell ref="AE54:AT54"/>
    <mergeCell ref="G55:I55"/>
    <mergeCell ref="O55:AD55"/>
    <mergeCell ref="AE55:AT55"/>
    <mergeCell ref="G52:I52"/>
    <mergeCell ref="O52:AD52"/>
    <mergeCell ref="AE52:AT52"/>
    <mergeCell ref="G53:I53"/>
    <mergeCell ref="O53:AD53"/>
    <mergeCell ref="AE53:AT53"/>
    <mergeCell ref="B48:N49"/>
    <mergeCell ref="O48:AD49"/>
    <mergeCell ref="AE48:AT49"/>
    <mergeCell ref="C51:F51"/>
    <mergeCell ref="G51:I51"/>
    <mergeCell ref="J51:M51"/>
    <mergeCell ref="O51:AD51"/>
    <mergeCell ref="AE51:AT51"/>
    <mergeCell ref="G42:H42"/>
    <mergeCell ref="AD42:AK42"/>
    <mergeCell ref="AL42:AS42"/>
    <mergeCell ref="B44:D44"/>
    <mergeCell ref="B46:BF46"/>
    <mergeCell ref="V42:AC42"/>
    <mergeCell ref="B33:BF33"/>
    <mergeCell ref="C25:F25"/>
    <mergeCell ref="G25:I25"/>
    <mergeCell ref="J25:M25"/>
    <mergeCell ref="O25:AD25"/>
    <mergeCell ref="AE25:AT25"/>
    <mergeCell ref="G27:I27"/>
    <mergeCell ref="O27:AD27"/>
    <mergeCell ref="AE27:AT27"/>
    <mergeCell ref="B31:D31"/>
    <mergeCell ref="C11:F11"/>
    <mergeCell ref="G11:I11"/>
    <mergeCell ref="J11:M11"/>
    <mergeCell ref="G15:I15"/>
    <mergeCell ref="O15:AD15"/>
    <mergeCell ref="G29:I29"/>
    <mergeCell ref="O29:AD29"/>
    <mergeCell ref="AE29:AT29"/>
    <mergeCell ref="AE14:AT14"/>
    <mergeCell ref="AE15:AT15"/>
    <mergeCell ref="G26:I26"/>
    <mergeCell ref="O26:AD26"/>
    <mergeCell ref="AE26:AT26"/>
    <mergeCell ref="B20:BF20"/>
    <mergeCell ref="B22:N23"/>
    <mergeCell ref="O22:AD23"/>
    <mergeCell ref="AE22:AT23"/>
    <mergeCell ref="C17:D17"/>
    <mergeCell ref="B18:D18"/>
    <mergeCell ref="G41:H41"/>
    <mergeCell ref="AD40:AK40"/>
    <mergeCell ref="AD41:AK41"/>
    <mergeCell ref="AD39:AK39"/>
    <mergeCell ref="G39:H39"/>
    <mergeCell ref="AW1:BK2"/>
    <mergeCell ref="B5:BF5"/>
    <mergeCell ref="B6:BF6"/>
    <mergeCell ref="B8:N9"/>
    <mergeCell ref="O8:AD9"/>
    <mergeCell ref="AE8:AT9"/>
    <mergeCell ref="G28:I28"/>
    <mergeCell ref="O28:AD28"/>
    <mergeCell ref="AE28:AT28"/>
    <mergeCell ref="O11:AD11"/>
    <mergeCell ref="AE11:AT11"/>
    <mergeCell ref="G12:I12"/>
    <mergeCell ref="O12:AD12"/>
    <mergeCell ref="AE12:AT12"/>
    <mergeCell ref="G13:I13"/>
    <mergeCell ref="O13:AD13"/>
    <mergeCell ref="AE13:AT13"/>
    <mergeCell ref="G14:I14"/>
    <mergeCell ref="O14:AD14"/>
    <mergeCell ref="C38:F38"/>
    <mergeCell ref="G38:H38"/>
    <mergeCell ref="I38:L38"/>
    <mergeCell ref="AD36:AK36"/>
    <mergeCell ref="AD38:AK38"/>
    <mergeCell ref="B35:M36"/>
    <mergeCell ref="N36:U36"/>
    <mergeCell ref="N35:AC35"/>
    <mergeCell ref="G40:H40"/>
    <mergeCell ref="AD35:AS35"/>
    <mergeCell ref="V36:AC36"/>
    <mergeCell ref="AL40:AS40"/>
    <mergeCell ref="N38:U38"/>
    <mergeCell ref="N39:U39"/>
    <mergeCell ref="N40:U40"/>
    <mergeCell ref="N41:U41"/>
    <mergeCell ref="N42:U42"/>
    <mergeCell ref="V38:AC38"/>
    <mergeCell ref="V39:AC39"/>
    <mergeCell ref="V40:AC40"/>
    <mergeCell ref="V41:AC41"/>
    <mergeCell ref="AL41:AS41"/>
    <mergeCell ref="AL38:AS38"/>
    <mergeCell ref="AL36:AS36"/>
    <mergeCell ref="AL39:AS39"/>
  </mergeCells>
  <phoneticPr fontId="6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29</vt:i4>
      </vt:variant>
    </vt:vector>
  </HeadingPairs>
  <TitlesOfParts>
    <vt:vector size="59" baseType="lpstr">
      <vt:lpstr>183</vt:lpstr>
      <vt:lpstr>184</vt:lpstr>
      <vt:lpstr>185</vt:lpstr>
      <vt:lpstr>186</vt:lpstr>
      <vt:lpstr>187</vt:lpstr>
      <vt:lpstr>188</vt:lpstr>
      <vt:lpstr>189</vt:lpstr>
      <vt:lpstr>190</vt:lpstr>
      <vt:lpstr>191</vt:lpstr>
      <vt:lpstr>192</vt:lpstr>
      <vt:lpstr>193</vt:lpstr>
      <vt:lpstr>194</vt:lpstr>
      <vt:lpstr>195</vt:lpstr>
      <vt:lpstr>196</vt:lpstr>
      <vt:lpstr>197</vt:lpstr>
      <vt:lpstr>198</vt:lpstr>
      <vt:lpstr>199</vt:lpstr>
      <vt:lpstr>200</vt:lpstr>
      <vt:lpstr>201</vt:lpstr>
      <vt:lpstr>202</vt:lpstr>
      <vt:lpstr>203</vt:lpstr>
      <vt:lpstr>204</vt:lpstr>
      <vt:lpstr>205</vt:lpstr>
      <vt:lpstr>206</vt:lpstr>
      <vt:lpstr>207</vt:lpstr>
      <vt:lpstr>208</vt:lpstr>
      <vt:lpstr>209</vt:lpstr>
      <vt:lpstr>210</vt:lpstr>
      <vt:lpstr>211</vt:lpstr>
      <vt:lpstr>212</vt:lpstr>
      <vt:lpstr>'183'!Print_Area</vt:lpstr>
      <vt:lpstr>'184'!Print_Area</vt:lpstr>
      <vt:lpstr>'185'!Print_Area</vt:lpstr>
      <vt:lpstr>'186'!Print_Area</vt:lpstr>
      <vt:lpstr>'187'!Print_Area</vt:lpstr>
      <vt:lpstr>'188'!Print_Area</vt:lpstr>
      <vt:lpstr>'189'!Print_Area</vt:lpstr>
      <vt:lpstr>'190'!Print_Area</vt:lpstr>
      <vt:lpstr>'191'!Print_Area</vt:lpstr>
      <vt:lpstr>'192'!Print_Area</vt:lpstr>
      <vt:lpstr>'193'!Print_Area</vt:lpstr>
      <vt:lpstr>'194'!Print_Area</vt:lpstr>
      <vt:lpstr>'195'!Print_Area</vt:lpstr>
      <vt:lpstr>'196'!Print_Area</vt:lpstr>
      <vt:lpstr>'197'!Print_Area</vt:lpstr>
      <vt:lpstr>'198'!Print_Area</vt:lpstr>
      <vt:lpstr>'199'!Print_Area</vt:lpstr>
      <vt:lpstr>'201'!Print_Area</vt:lpstr>
      <vt:lpstr>'202'!Print_Area</vt:lpstr>
      <vt:lpstr>'203'!Print_Area</vt:lpstr>
      <vt:lpstr>'204'!Print_Area</vt:lpstr>
      <vt:lpstr>'205'!Print_Area</vt:lpstr>
      <vt:lpstr>'206'!Print_Area</vt:lpstr>
      <vt:lpstr>'207'!Print_Area</vt:lpstr>
      <vt:lpstr>'208'!Print_Area</vt:lpstr>
      <vt:lpstr>'209'!Print_Area</vt:lpstr>
      <vt:lpstr>'210'!Print_Area</vt:lpstr>
      <vt:lpstr>'211'!Print_Area</vt:lpstr>
      <vt:lpstr>'212'!Print_Area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2016-12-14T05:03:07Z</dcterms:modified>
</cp:coreProperties>
</file>